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C:\Users\cfarmer\Documents\Bids\Risk Management\RFP 170509\Docs\"/>
    </mc:Choice>
  </mc:AlternateContent>
  <bookViews>
    <workbookView xWindow="0" yWindow="0" windowWidth="17976" windowHeight="5952" tabRatio="744"/>
  </bookViews>
  <sheets>
    <sheet name="Claims-Premium" sheetId="24" r:id="rId1"/>
    <sheet name="Summary" sheetId="20" r:id="rId2"/>
    <sheet name="RFP Spreadsheet Questionnaire" sheetId="21" r:id="rId3"/>
    <sheet name="Services" sheetId="25" r:id="rId4"/>
    <sheet name="Risk Pools" sheetId="26" r:id="rId5"/>
    <sheet name="Property" sheetId="27" r:id="rId6"/>
  </sheets>
  <externalReferences>
    <externalReference r:id="rId7"/>
    <externalReference r:id="rId8"/>
    <externalReference r:id="rId9"/>
    <externalReference r:id="rId10"/>
    <externalReference r:id="rId11"/>
    <externalReference r:id="rId12"/>
  </externalReferences>
  <definedNames>
    <definedName name="\0" localSheetId="3">#REF!</definedName>
    <definedName name="\0">#REF!</definedName>
    <definedName name="\a" localSheetId="3">#REF!</definedName>
    <definedName name="\a">#REF!</definedName>
    <definedName name="\c" localSheetId="3">#REF!</definedName>
    <definedName name="\c">#REF!</definedName>
    <definedName name="\d" localSheetId="3">#REF!</definedName>
    <definedName name="\d">#REF!</definedName>
    <definedName name="\e">#REF!</definedName>
    <definedName name="\EL">#REF!</definedName>
    <definedName name="\G" localSheetId="3">#REF!</definedName>
    <definedName name="\G">#REF!</definedName>
    <definedName name="\JH">#REF!</definedName>
    <definedName name="\K" localSheetId="3">#REF!</definedName>
    <definedName name="\K">#REF!</definedName>
    <definedName name="\l">#N/A</definedName>
    <definedName name="\n" localSheetId="3">#REF!</definedName>
    <definedName name="\n">#REF!</definedName>
    <definedName name="\P" localSheetId="3">#REF!</definedName>
    <definedName name="\P">#REF!</definedName>
    <definedName name="\q" localSheetId="3">#REF!</definedName>
    <definedName name="\q">#REF!</definedName>
    <definedName name="\s" localSheetId="3">#REF!</definedName>
    <definedName name="\s">#REF!</definedName>
    <definedName name="\T" localSheetId="3">#REF!</definedName>
    <definedName name="\T">#REF!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_0" localSheetId="3">#REF!</definedName>
    <definedName name="_0">#REF!</definedName>
    <definedName name="_Fill" localSheetId="1" hidden="1">#REF!</definedName>
    <definedName name="_Fill" hidden="1">#REF!</definedName>
    <definedName name="_Key1" localSheetId="3" hidden="1">[1]Vehicles!#REF!</definedName>
    <definedName name="_Key1" localSheetId="1" hidden="1">'[2]Sold Vehicles'!#REF!</definedName>
    <definedName name="_Key1" hidden="1">'[2]Sold Vehicles'!#REF!</definedName>
    <definedName name="_Key2" hidden="1">[1]Vehicles!#REF!</definedName>
    <definedName name="_Order1" hidden="1">255</definedName>
    <definedName name="_Order2" hidden="1">255</definedName>
    <definedName name="_Sort" hidden="1">[1]Vehicles!#REF!</definedName>
    <definedName name="ABOP_Limits">'[3]Crime Rates'!$E$28:$E$42</definedName>
    <definedName name="ACV" localSheetId="3">#REF!</definedName>
    <definedName name="ACV">#REF!</definedName>
    <definedName name="AD" localSheetId="3">#REF!</definedName>
    <definedName name="AD">#REF!</definedName>
    <definedName name="ADBLDG" localSheetId="3">#REF!</definedName>
    <definedName name="ADBLDG">#REF!</definedName>
    <definedName name="ADCNT" localSheetId="3">#REF!</definedName>
    <definedName name="ADCNT">#REF!</definedName>
    <definedName name="ADD" localSheetId="3">#REF!</definedName>
    <definedName name="ADD">#REF!</definedName>
    <definedName name="AdditionalPIP">[4]Vehicles!#REF!</definedName>
    <definedName name="AdditionalPIPPremium">[4]Vehicles!#REF!</definedName>
    <definedName name="Admin_Percentage" localSheetId="3">#REF!</definedName>
    <definedName name="Admin_Percentage">#REF!</definedName>
    <definedName name="AgreedAmount">[4]Vehicles!#REF!</definedName>
    <definedName name="AgreedAmt">[4]Vehicles!#REF!</definedName>
    <definedName name="AlterationsAmt">[4]Vehicles!#REF!</definedName>
    <definedName name="AlteredRemarks">[4]Vehicles!#REF!</definedName>
    <definedName name="AnnualLeaseReceiptsAmt">[4]Vehicles!#REF!</definedName>
    <definedName name="AntiLockBrakeCd">[4]Vehicles!#REF!</definedName>
    <definedName name="AntiTheftDeviceCd">[4]Vehicles!#REF!</definedName>
    <definedName name="AntiTheftDeviceCreditPct">[4]Vehicles!#REF!</definedName>
    <definedName name="AntiTheftInd">[4]Vehicles!#REF!</definedName>
    <definedName name="AUTO" localSheetId="3">#REF!</definedName>
    <definedName name="AUTO">#REF!</definedName>
    <definedName name="B">#REF!</definedName>
    <definedName name="BUILDINGS" localSheetId="3">#REF!</definedName>
    <definedName name="BUILDINGS">#REF!</definedName>
    <definedName name="BumperDiscountInd">[4]Vehicles!#REF!</definedName>
    <definedName name="CALENDAR" localSheetId="3">#REF!</definedName>
    <definedName name="CALENDAR">#REF!</definedName>
    <definedName name="CarPool">[4]Vehicles!#REF!</definedName>
    <definedName name="CD_Limits">'[3]Crime Rates'!$B$49:$B$63</definedName>
    <definedName name="City">[4]Vehicles!#REF!</definedName>
    <definedName name="Class">[4]Vehicles!#REF!</definedName>
    <definedName name="ClientVehNo">[4]Vehicles!#REF!</definedName>
    <definedName name="CollisionInd">[4]Vehicles!#REF!</definedName>
    <definedName name="CollisionPrem">[4]Vehicles!#REF!</definedName>
    <definedName name="Comm">'[3]Account Info'!$M$65</definedName>
    <definedName name="CommuteTerritory">[4]Vehicles!#REF!</definedName>
    <definedName name="CommVehUseCd">[4]Vehicles!#REF!</definedName>
    <definedName name="COMPANIES" localSheetId="3">#REF!</definedName>
    <definedName name="COMPANIES">#REF!</definedName>
    <definedName name="COMPARE" localSheetId="3">#REF!</definedName>
    <definedName name="COMPARE">#REF!</definedName>
    <definedName name="ComprehensiveInd">[4]Vehicles!#REF!</definedName>
    <definedName name="ComprehensivePrem">[4]Vehicles!#REF!</definedName>
    <definedName name="Contents">'[5]Property Statement of Values'!$N$4:$N$77</definedName>
    <definedName name="COSTS" localSheetId="3">#REF!</definedName>
    <definedName name="COSTS">#REF!</definedName>
    <definedName name="CountyCode">[4]Vehicles!#REF!</definedName>
    <definedName name="COVER" localSheetId="3">#REF!</definedName>
    <definedName name="COVER">#REF!</definedName>
    <definedName name="CP">#REF!</definedName>
    <definedName name="CreditSurcharge">[4]Vehicles!#REF!</definedName>
    <definedName name="Crime_Ded">'[3]Crime Rates'!$B$71:$B$85</definedName>
    <definedName name="_xlnm.Criteria" localSheetId="3">#REF!</definedName>
    <definedName name="_xlnm.Criteria">#REF!</definedName>
    <definedName name="CT" localSheetId="3">#REF!</definedName>
    <definedName name="CT">#REF!</definedName>
    <definedName name="DamageCd">[4]Vehicles!#REF!</definedName>
    <definedName name="DATA">#REF!</definedName>
    <definedName name="_xlnm.Database" localSheetId="3">#REF!</definedName>
    <definedName name="_xlnm.Database">#REF!</definedName>
    <definedName name="DayTimeRunningLightInd">[4]Vehicles!#REF!</definedName>
    <definedName name="DELBLDG" localSheetId="3">#REF!</definedName>
    <definedName name="DELBLDG">#REF!</definedName>
    <definedName name="DELCNT" localSheetId="3">#REF!</definedName>
    <definedName name="DELCNT">#REF!</definedName>
    <definedName name="Displacement">[4]Vehicles!#REF!</definedName>
    <definedName name="Driver1">[4]Vehicles!#REF!</definedName>
    <definedName name="Driver2">[4]Vehicles!#REF!</definedName>
    <definedName name="Driver3">[4]Vehicles!#REF!</definedName>
    <definedName name="Driver4">[4]Vehicles!#REF!</definedName>
    <definedName name="Driver5">[4]Vehicles!#REF!</definedName>
    <definedName name="Driver6">[4]Vehicles!#REF!</definedName>
    <definedName name="Driver7">[4]Vehicles!#REF!</definedName>
    <definedName name="EL" localSheetId="3">#REF!</definedName>
    <definedName name="EL">#REF!</definedName>
    <definedName name="EQ_Zone">'[3]F&amp;Q Rates'!$J$44:$N$44</definedName>
    <definedName name="EstimatedAnnualDistance">[4]Vehicles!#REF!</definedName>
    <definedName name="ExistingDamageRemarks">[4]Vehicles!#REF!</definedName>
    <definedName name="ExistingDamageRemarks2">[4]Vehicles!#REF!</definedName>
    <definedName name="ExistingDamageRemarks3">[4]Vehicles!#REF!</definedName>
    <definedName name="F" localSheetId="3">#REF!</definedName>
    <definedName name="F">#REF!</definedName>
    <definedName name="F_Limits">'[3]Crime Rates'!$B$28:$B$42</definedName>
    <definedName name="FarmRanchInd">[4]Vehicles!#REF!</definedName>
    <definedName name="FarZoneCd">[4]Vehicles!#REF!</definedName>
    <definedName name="FireInd">[4]Vehicles!#REF!</definedName>
    <definedName name="FirePremium">[4]Vehicles!#REF!</definedName>
    <definedName name="FireTheftInd">[4]Vehicles!#REF!</definedName>
    <definedName name="FireTheftPremium">[4]Vehicles!#REF!</definedName>
    <definedName name="FiretheftWindInd">[4]Vehicles!#REF!</definedName>
    <definedName name="FireTheftWindPrem">[4]Vehicles!#REF!</definedName>
    <definedName name="Fleetind">[4]Vehicles!#REF!</definedName>
    <definedName name="Flood_Ded">'[3]F&amp;Q Rates'!$B$12:$B$26</definedName>
    <definedName name="Flood_Limit">'[3]F&amp;Q Rates'!$C$10:$O$10</definedName>
    <definedName name="form_num">'[3]Account Info'!$AD$43</definedName>
    <definedName name="FormList">'[3]Account Info'!$AG$54:$AG$56</definedName>
    <definedName name="FuelCutOff">[4]Vehicles!#REF!</definedName>
    <definedName name="Garaging">[4]Vehicles!#REF!</definedName>
    <definedName name="GaragingLocRef">[4]Vehicles!#REF!</definedName>
    <definedName name="GL_DED2">'[3]GL Rates'!$Q$98:$Q$111</definedName>
    <definedName name="GL_ILF">'[3]GL Rates'!$V$67:$V$108</definedName>
    <definedName name="GL_MedPay_Limits">'[3]GL Rates'!$B$84:$B$93</definedName>
    <definedName name="GL_mod">'[3]Schedule Rating'!$P$55</definedName>
    <definedName name="GL_RET2">'[3]GL Rates'!$T$98:$T$98</definedName>
    <definedName name="GL_SIR2">'[3]GL Rates'!$N$98:$N$118</definedName>
    <definedName name="GL_Territory">'[3]GL Rates'!$CU$2:$CU$9</definedName>
    <definedName name="GlassInd">[4]Vehicles!#REF!</definedName>
    <definedName name="GlassPremium">[4]Vehicles!#REF!</definedName>
    <definedName name="GrossVehOrCombinedWeight">[4]Vehicles!#REF!</definedName>
    <definedName name="GT" localSheetId="3">#REF!</definedName>
    <definedName name="GT">#REF!</definedName>
    <definedName name="HoodLockCd">[4]Vehicles!#REF!</definedName>
    <definedName name="HS" localSheetId="3">#REF!</definedName>
    <definedName name="HS">#REF!</definedName>
    <definedName name="HS_Percentage" localSheetId="3">#REF!</definedName>
    <definedName name="HS_Percentage">#REF!</definedName>
    <definedName name="IgnitionCutOff">[4]Vehicles!#REF!</definedName>
    <definedName name="IM_Ded">'[3]IM Rates'!$H$8:$H$44</definedName>
    <definedName name="JH" localSheetId="3">#REF!</definedName>
    <definedName name="JH">#REF!</definedName>
    <definedName name="KJ" localSheetId="3">#REF!</definedName>
    <definedName name="KJ">#REF!</definedName>
    <definedName name="LAND" localSheetId="3">#REF!</definedName>
    <definedName name="LAND">#REF!</definedName>
    <definedName name="LeasedVehInd">[4]Vehicles!#REF!</definedName>
    <definedName name="Length">[4]Vehicles!#REF!</definedName>
    <definedName name="LESS" localSheetId="3">#REF!</definedName>
    <definedName name="LESS">#REF!</definedName>
    <definedName name="Lessee">[4]Vehicles!#REF!</definedName>
    <definedName name="LiabilityPremium">[4]Vehicles!#REF!</definedName>
    <definedName name="LicensePlateNumber">[4]Vehicles!#REF!</definedName>
    <definedName name="LimitedSpecPerilsDed">[4]Vehicles!#REF!</definedName>
    <definedName name="LimitedSpecPerilsInd">[4]Vehicles!#REF!</definedName>
    <definedName name="LimitedSpecPerilsPrem">[4]Vehicles!#REF!</definedName>
    <definedName name="LOSSES" localSheetId="3">#REF!</definedName>
    <definedName name="LOSSES">#REF!</definedName>
    <definedName name="LYADST" localSheetId="3">#REF!</definedName>
    <definedName name="LYADST">#REF!</definedName>
    <definedName name="LYBT" localSheetId="3">#REF!</definedName>
    <definedName name="LYBT">#REF!</definedName>
    <definedName name="LYCT" localSheetId="3">#REF!</definedName>
    <definedName name="LYCT">#REF!</definedName>
    <definedName name="MedicalPayments">[4]Vehicles!#REF!</definedName>
    <definedName name="MedicalPaymentsPremium">[4]Vehicles!#REF!</definedName>
    <definedName name="Mileage">[4]Vehicles!#REF!</definedName>
    <definedName name="MilesOneWay">[4]Vehicles!#REF!</definedName>
    <definedName name="MODIFIER" localSheetId="3">#REF!</definedName>
    <definedName name="MODIFIER">#REF!</definedName>
    <definedName name="MONTH" localSheetId="3">#REF!</definedName>
    <definedName name="MONTH">#REF!</definedName>
    <definedName name="MonthsLeased">[4]Vehicles!#REF!</definedName>
    <definedName name="MotorCarrier">[4]Vehicles!#REF!</definedName>
    <definedName name="MultiCarDiscountInd">[4]Vehicles!#REF!</definedName>
    <definedName name="NAME" localSheetId="3">#REF!</definedName>
    <definedName name="NAME">#REF!</definedName>
    <definedName name="NearZoneCd">[4]Vehicles!#REF!</definedName>
    <definedName name="NewVehInd">[4]Vehicles!#REF!</definedName>
    <definedName name="NonOwned">[4]Vehicles!#REF!</definedName>
    <definedName name="NORTHWEST" localSheetId="3">#REF!</definedName>
    <definedName name="NORTHWEST">#REF!</definedName>
    <definedName name="NOTE">#REF!</definedName>
    <definedName name="NumCylinders">[4]Vehicles!#REF!</definedName>
    <definedName name="NumDaysDrivenPerWeek">[4]Vehicles!#REF!</definedName>
    <definedName name="NumYouthfulOperators">[4]Vehicles!#REF!</definedName>
    <definedName name="O" localSheetId="3">#REF!</definedName>
    <definedName name="O">#REF!</definedName>
    <definedName name="P">#N/A</definedName>
    <definedName name="PassiveRestraint">[4]Vehicles!#REF!</definedName>
    <definedName name="PDClass">[4]Vehicles!#REF!</definedName>
    <definedName name="Performance">[4]Vehicles!#REF!</definedName>
    <definedName name="PIPPremium">[4]Vehicles!#REF!</definedName>
    <definedName name="PL">#REF!</definedName>
    <definedName name="POLICIES" localSheetId="3">#REF!</definedName>
    <definedName name="POLICIES">#REF!</definedName>
    <definedName name="PostalCode">[4]Vehicles!#REF!</definedName>
    <definedName name="PREMIUM" localSheetId="3">#REF!</definedName>
    <definedName name="PREMIUM">#REF!</definedName>
    <definedName name="PricingCd">[4]Vehicles!#REF!</definedName>
    <definedName name="PrimaryClassCd">[4]Vehicles!#REF!</definedName>
    <definedName name="PrimaryRatingFactorLiability">[4]Vehicles!#REF!</definedName>
    <definedName name="PrimaryRatingFactorPhysicalDamage">[4]Vehicles!#REF!</definedName>
    <definedName name="PrincipalOperatorInd">[4]Vehicles!#REF!</definedName>
    <definedName name="_xlnm.Print_Area" localSheetId="2">'RFP Spreadsheet Questionnaire'!$A$1:$E$539</definedName>
    <definedName name="_xlnm.Print_Area" localSheetId="3">Services!$A$1:$D$65</definedName>
    <definedName name="_xlnm.Print_Area" localSheetId="1">Summary!$A$4:$H$62</definedName>
    <definedName name="Print_Area_MI" localSheetId="3">#REF!</definedName>
    <definedName name="Print_Area_MI">#REF!</definedName>
    <definedName name="_xlnm.Print_Titles" localSheetId="1">Summary!$1:$3</definedName>
    <definedName name="_xlnm.Print_Titles">#REF!</definedName>
    <definedName name="Print_Titles_MI" localSheetId="3">#REF!</definedName>
    <definedName name="Print_Titles_MI">#REF!</definedName>
    <definedName name="Prop_DedSIR">'[3]Prop Rates'!$L$7:$L$41</definedName>
    <definedName name="prop_mod">'[3]Schedule Rating'!$P$98</definedName>
    <definedName name="Prop_Terr">'[3]Prop Rates'!$BV$2:$BV$4</definedName>
    <definedName name="PurchaseDt">[4]Vehicles!#REF!</definedName>
    <definedName name="Quake_Ded">'[3]F&amp;Q Rates'!$B$52:$B$66</definedName>
    <definedName name="Quake_Limit">'[3]F&amp;Q Rates'!$C$50:$P$50</definedName>
    <definedName name="QUESTIONS" localSheetId="3">#REF!</definedName>
    <definedName name="QUESTIONS">#REF!</definedName>
    <definedName name="RadiusUse">[4]Vehicles!#REF!</definedName>
    <definedName name="RatingCreditCd">[4]Vehicles!#REF!</definedName>
    <definedName name="RC_" localSheetId="3">#REF!</definedName>
    <definedName name="RC_">#REF!</definedName>
    <definedName name="RegistrationStateProvCd">[4]Vehicles!#REF!</definedName>
    <definedName name="RentalInd">[4]Vehicles!#REF!</definedName>
    <definedName name="RentalPrem">[4]Vehicles!#REF!</definedName>
    <definedName name="Residual">[4]Vehicles!#REF!</definedName>
    <definedName name="S" localSheetId="3">#REF!</definedName>
    <definedName name="S">#REF!</definedName>
    <definedName name="SeatingCapacity">[4]Vehicles!#REF!</definedName>
    <definedName name="SecondaryClassCd">[4]Vehicles!#REF!</definedName>
    <definedName name="SecondaryRatingFactor">[4]Vehicles!#REF!</definedName>
    <definedName name="SelfPropelledVehInd">[4]Vehicles!#REF!</definedName>
    <definedName name="ShakerSwitchInd">[4]Vehicles!#REF!</definedName>
    <definedName name="SHORT">#REF!</definedName>
    <definedName name="SpecialClassCd">[4]Vehicles!#REF!</definedName>
    <definedName name="SpecialUseCd">[4]Vehicles!#REF!</definedName>
    <definedName name="SpecifiedPerilsDed">[4]Vehicles!#REF!</definedName>
    <definedName name="SpecifiedPerilsInd">[4]Vehicles!#REF!</definedName>
    <definedName name="SpecifiedPerilsPrem">[4]Vehicles!#REF!</definedName>
    <definedName name="state">[3]states!$A$4:$A$54</definedName>
    <definedName name="StateProvCd">[4]Vehicles!#REF!</definedName>
    <definedName name="STATS" localSheetId="3">#REF!</definedName>
    <definedName name="STATS">#REF!</definedName>
    <definedName name="SteeringLockInd">[4]Vehicles!#REF!</definedName>
    <definedName name="SUMMARY">#REF!</definedName>
    <definedName name="SurchargeCredit">[4]Vehicles!#REF!</definedName>
    <definedName name="SurchargeCreditAmt">[4]Vehicles!#REF!</definedName>
    <definedName name="T">#N/A</definedName>
    <definedName name="TAP" localSheetId="3">#REF!</definedName>
    <definedName name="TAP">#REF!</definedName>
    <definedName name="TaxAmount">[4]Vehicles!#REF!</definedName>
    <definedName name="TaxSurcharge">[4]Vehicles!#REF!</definedName>
    <definedName name="TaxTownCd">[4]Vehicles!#REF!</definedName>
    <definedName name="TerritoryCd">[4]Vehicles!#REF!</definedName>
    <definedName name="TOT" localSheetId="3">#REF!</definedName>
    <definedName name="TOT">#REF!</definedName>
    <definedName name="TotalPrem">[4]Vehicles!#REF!</definedName>
    <definedName name="TowingInd">[4]Vehicles!#REF!</definedName>
    <definedName name="TowingPremium">[4]Vehicles!#REF!</definedName>
    <definedName name="TractionControlInd">[4]Vehicles!#REF!</definedName>
    <definedName name="TractionDiscount">[4]Vehicles!#REF!</definedName>
    <definedName name="TYADST" localSheetId="3">#REF!</definedName>
    <definedName name="TYADST">#REF!</definedName>
    <definedName name="TYBT" localSheetId="3">#REF!</definedName>
    <definedName name="TYBT">#REF!</definedName>
    <definedName name="TYCT" localSheetId="3">#REF!</definedName>
    <definedName name="TYCT">#REF!</definedName>
    <definedName name="UnderInsuredMotorist">[4]Vehicles!#REF!</definedName>
    <definedName name="UnderInsuredMotoristPrem">[4]Vehicles!#REF!</definedName>
    <definedName name="UnfixedDamageInd">[4]Vehicles!#REF!</definedName>
    <definedName name="UnInsuredMotoristPrem">[4]Vehicles!#REF!</definedName>
    <definedName name="UseLeasedVehDesc">[4]Vehicles!#REF!</definedName>
    <definedName name="ValidInfo">'[6].'!$A$1:$A$2</definedName>
    <definedName name="Values">'[5]Property Statement of Values'!$L$4:$L$77</definedName>
    <definedName name="VehAlteredInd">[4]Vehicles!#REF!</definedName>
    <definedName name="VehBodyTypeCd">[4]Vehicles!#REF!</definedName>
    <definedName name="VehInspectionStatusCd">[4]Vehicles!#REF!</definedName>
    <definedName name="VehLeaseCd">[4]Vehicles!#REF!</definedName>
    <definedName name="VehSymbolCd">[4]Vehicles!#REF!</definedName>
    <definedName name="VehUseCd">[4]Vehicles!#REF!</definedName>
    <definedName name="WeeksPerMonth">[4]Vehicles!#REF!</definedName>
    <definedName name="Window">[4]Vehicles!#REF!</definedName>
    <definedName name="YEAR" localSheetId="3">#REF!</definedName>
    <definedName name="YEAR">#REF!</definedName>
    <definedName name="ZoneCombinationCd">[4]Vehicles!#REF!</definedName>
  </definedNames>
  <calcPr calcId="171027"/>
</workbook>
</file>

<file path=xl/calcChain.xml><?xml version="1.0" encoding="utf-8"?>
<calcChain xmlns="http://schemas.openxmlformats.org/spreadsheetml/2006/main">
  <c r="C75" i="21" l="1"/>
  <c r="C76" i="21" s="1"/>
  <c r="C13" i="21"/>
  <c r="C14" i="21" s="1"/>
  <c r="C15" i="21" s="1"/>
  <c r="D9" i="21"/>
  <c r="W387" i="27"/>
  <c r="V387" i="27"/>
  <c r="U387" i="27"/>
  <c r="H385" i="27"/>
  <c r="F385" i="27"/>
  <c r="D385" i="27"/>
  <c r="H382" i="27"/>
  <c r="F382" i="27"/>
  <c r="D382" i="27"/>
  <c r="H379" i="27"/>
  <c r="F379" i="27"/>
  <c r="D379" i="27"/>
  <c r="H376" i="27"/>
  <c r="F376" i="27"/>
  <c r="D376" i="27"/>
  <c r="H373" i="27"/>
  <c r="F373" i="27"/>
  <c r="D373" i="27"/>
  <c r="H372" i="27"/>
  <c r="F372" i="27"/>
  <c r="D372" i="27"/>
  <c r="H369" i="27"/>
  <c r="F369" i="27"/>
  <c r="D369" i="27"/>
  <c r="H368" i="27"/>
  <c r="F368" i="27"/>
  <c r="D368" i="27"/>
  <c r="H367" i="27"/>
  <c r="F367" i="27"/>
  <c r="D367" i="27"/>
  <c r="H364" i="27"/>
  <c r="F364" i="27"/>
  <c r="D364" i="27"/>
  <c r="H363" i="27"/>
  <c r="F363" i="27"/>
  <c r="D363" i="27"/>
  <c r="H362" i="27"/>
  <c r="F362" i="27"/>
  <c r="D362" i="27"/>
  <c r="H359" i="27"/>
  <c r="F359" i="27"/>
  <c r="D359" i="27"/>
  <c r="H358" i="27"/>
  <c r="F358" i="27"/>
  <c r="D358" i="27"/>
  <c r="H357" i="27"/>
  <c r="F357" i="27"/>
  <c r="D357" i="27"/>
  <c r="H354" i="27"/>
  <c r="F354" i="27"/>
  <c r="D354" i="27"/>
  <c r="H353" i="27"/>
  <c r="F353" i="27"/>
  <c r="D353" i="27"/>
  <c r="H352" i="27"/>
  <c r="F352" i="27"/>
  <c r="D352" i="27"/>
  <c r="H351" i="27"/>
  <c r="F351" i="27"/>
  <c r="D351" i="27"/>
  <c r="H348" i="27"/>
  <c r="F348" i="27"/>
  <c r="D348" i="27"/>
  <c r="H347" i="27"/>
  <c r="F347" i="27"/>
  <c r="D347" i="27"/>
  <c r="H344" i="27"/>
  <c r="F344" i="27"/>
  <c r="D344" i="27"/>
  <c r="H343" i="27"/>
  <c r="F343" i="27"/>
  <c r="D343" i="27"/>
  <c r="H340" i="27"/>
  <c r="F340" i="27"/>
  <c r="D340" i="27"/>
  <c r="H339" i="27"/>
  <c r="F339" i="27"/>
  <c r="D339" i="27"/>
  <c r="H338" i="27"/>
  <c r="F338" i="27"/>
  <c r="D338" i="27"/>
  <c r="H337" i="27"/>
  <c r="F337" i="27"/>
  <c r="D337" i="27"/>
  <c r="H336" i="27"/>
  <c r="F336" i="27"/>
  <c r="D336" i="27"/>
  <c r="H335" i="27"/>
  <c r="F335" i="27"/>
  <c r="D335" i="27"/>
  <c r="H334" i="27"/>
  <c r="F334" i="27"/>
  <c r="D334" i="27"/>
  <c r="H333" i="27"/>
  <c r="F333" i="27"/>
  <c r="D333" i="27"/>
  <c r="H332" i="27"/>
  <c r="F332" i="27"/>
  <c r="D332" i="27"/>
  <c r="H331" i="27"/>
  <c r="F331" i="27"/>
  <c r="D331" i="27"/>
  <c r="H330" i="27"/>
  <c r="F330" i="27"/>
  <c r="D330" i="27"/>
  <c r="H329" i="27"/>
  <c r="F329" i="27"/>
  <c r="D329" i="27"/>
  <c r="H328" i="27"/>
  <c r="F328" i="27"/>
  <c r="D328" i="27"/>
  <c r="H327" i="27"/>
  <c r="F327" i="27"/>
  <c r="D327" i="27"/>
  <c r="H326" i="27"/>
  <c r="F326" i="27"/>
  <c r="D326" i="27"/>
  <c r="H325" i="27"/>
  <c r="F325" i="27"/>
  <c r="D325" i="27"/>
  <c r="H324" i="27"/>
  <c r="F324" i="27"/>
  <c r="D324" i="27"/>
  <c r="H323" i="27"/>
  <c r="F323" i="27"/>
  <c r="D323" i="27"/>
  <c r="H322" i="27"/>
  <c r="F322" i="27"/>
  <c r="D322" i="27"/>
  <c r="H321" i="27"/>
  <c r="F321" i="27"/>
  <c r="D321" i="27"/>
  <c r="H320" i="27"/>
  <c r="F320" i="27"/>
  <c r="D320" i="27"/>
  <c r="H319" i="27"/>
  <c r="F319" i="27"/>
  <c r="D319" i="27"/>
  <c r="H318" i="27"/>
  <c r="F318" i="27"/>
  <c r="D318" i="27"/>
  <c r="H317" i="27"/>
  <c r="F317" i="27"/>
  <c r="D317" i="27"/>
  <c r="H316" i="27"/>
  <c r="F316" i="27"/>
  <c r="D316" i="27"/>
  <c r="H315" i="27"/>
  <c r="F315" i="27"/>
  <c r="D315" i="27"/>
  <c r="H314" i="27"/>
  <c r="F314" i="27"/>
  <c r="D314" i="27"/>
  <c r="H313" i="27"/>
  <c r="F313" i="27"/>
  <c r="D313" i="27"/>
  <c r="H312" i="27"/>
  <c r="F312" i="27"/>
  <c r="D312" i="27"/>
  <c r="H311" i="27"/>
  <c r="F311" i="27"/>
  <c r="D311" i="27"/>
  <c r="H308" i="27"/>
  <c r="F308" i="27"/>
  <c r="D308" i="27"/>
  <c r="H307" i="27"/>
  <c r="F307" i="27"/>
  <c r="D307" i="27"/>
  <c r="H306" i="27"/>
  <c r="F306" i="27"/>
  <c r="D306" i="27"/>
  <c r="H305" i="27"/>
  <c r="F305" i="27"/>
  <c r="D305" i="27"/>
  <c r="H304" i="27"/>
  <c r="F304" i="27"/>
  <c r="D304" i="27"/>
  <c r="H303" i="27"/>
  <c r="F303" i="27"/>
  <c r="D303" i="27"/>
  <c r="H302" i="27"/>
  <c r="F302" i="27"/>
  <c r="D302" i="27"/>
  <c r="H301" i="27"/>
  <c r="F301" i="27"/>
  <c r="D301" i="27"/>
  <c r="H300" i="27"/>
  <c r="F300" i="27"/>
  <c r="D300" i="27"/>
  <c r="H299" i="27"/>
  <c r="F299" i="27"/>
  <c r="D299" i="27"/>
  <c r="H296" i="27"/>
  <c r="F296" i="27"/>
  <c r="D296" i="27"/>
  <c r="H295" i="27"/>
  <c r="F295" i="27"/>
  <c r="D295" i="27"/>
  <c r="H294" i="27"/>
  <c r="F294" i="27"/>
  <c r="D294" i="27"/>
  <c r="H293" i="27"/>
  <c r="F293" i="27"/>
  <c r="D293" i="27"/>
  <c r="H292" i="27"/>
  <c r="F292" i="27"/>
  <c r="D292" i="27"/>
  <c r="H291" i="27"/>
  <c r="F291" i="27"/>
  <c r="D291" i="27"/>
  <c r="H290" i="27"/>
  <c r="F290" i="27"/>
  <c r="D290" i="27"/>
  <c r="H289" i="27"/>
  <c r="F289" i="27"/>
  <c r="D289" i="27"/>
  <c r="H286" i="27"/>
  <c r="F286" i="27"/>
  <c r="D286" i="27"/>
  <c r="H285" i="27"/>
  <c r="F285" i="27"/>
  <c r="D285" i="27"/>
  <c r="H282" i="27"/>
  <c r="F282" i="27"/>
  <c r="D282" i="27"/>
  <c r="H281" i="27"/>
  <c r="F281" i="27"/>
  <c r="D281" i="27"/>
  <c r="H280" i="27"/>
  <c r="F280" i="27"/>
  <c r="D280" i="27"/>
  <c r="H279" i="27"/>
  <c r="F279" i="27"/>
  <c r="D279" i="27"/>
  <c r="H278" i="27"/>
  <c r="F278" i="27"/>
  <c r="D278" i="27"/>
  <c r="H277" i="27"/>
  <c r="F277" i="27"/>
  <c r="D277" i="27"/>
  <c r="H276" i="27"/>
  <c r="F276" i="27"/>
  <c r="D276" i="27"/>
  <c r="H275" i="27"/>
  <c r="F275" i="27"/>
  <c r="D275" i="27"/>
  <c r="H274" i="27"/>
  <c r="F274" i="27"/>
  <c r="D274" i="27"/>
  <c r="H273" i="27"/>
  <c r="F273" i="27"/>
  <c r="D273" i="27"/>
  <c r="H272" i="27"/>
  <c r="F272" i="27"/>
  <c r="D272" i="27"/>
  <c r="H271" i="27"/>
  <c r="F271" i="27"/>
  <c r="D271" i="27"/>
  <c r="H270" i="27"/>
  <c r="F270" i="27"/>
  <c r="D270" i="27"/>
  <c r="H269" i="27"/>
  <c r="F269" i="27"/>
  <c r="D269" i="27"/>
  <c r="H268" i="27"/>
  <c r="F268" i="27"/>
  <c r="D268" i="27"/>
  <c r="H267" i="27"/>
  <c r="F267" i="27"/>
  <c r="D267" i="27"/>
  <c r="H266" i="27"/>
  <c r="F266" i="27"/>
  <c r="D266" i="27"/>
  <c r="H265" i="27"/>
  <c r="F265" i="27"/>
  <c r="D265" i="27"/>
  <c r="H264" i="27"/>
  <c r="F264" i="27"/>
  <c r="D264" i="27"/>
  <c r="H263" i="27"/>
  <c r="F263" i="27"/>
  <c r="D263" i="27"/>
  <c r="H262" i="27"/>
  <c r="F262" i="27"/>
  <c r="D262" i="27"/>
  <c r="H261" i="27"/>
  <c r="F261" i="27"/>
  <c r="D261" i="27"/>
  <c r="H260" i="27"/>
  <c r="F260" i="27"/>
  <c r="D260" i="27"/>
  <c r="H259" i="27"/>
  <c r="F259" i="27"/>
  <c r="D259" i="27"/>
  <c r="H258" i="27"/>
  <c r="F258" i="27"/>
  <c r="D258" i="27"/>
  <c r="H257" i="27"/>
  <c r="F257" i="27"/>
  <c r="D257" i="27"/>
  <c r="H256" i="27"/>
  <c r="F256" i="27"/>
  <c r="D256" i="27"/>
  <c r="H255" i="27"/>
  <c r="F255" i="27"/>
  <c r="D255" i="27"/>
  <c r="H254" i="27"/>
  <c r="F254" i="27"/>
  <c r="D254" i="27"/>
  <c r="H253" i="27"/>
  <c r="F253" i="27"/>
  <c r="D253" i="27"/>
  <c r="H252" i="27"/>
  <c r="F252" i="27"/>
  <c r="D252" i="27"/>
  <c r="H251" i="27"/>
  <c r="F251" i="27"/>
  <c r="D251" i="27"/>
  <c r="H250" i="27"/>
  <c r="F250" i="27"/>
  <c r="D250" i="27"/>
  <c r="H249" i="27"/>
  <c r="F249" i="27"/>
  <c r="D249" i="27"/>
  <c r="H248" i="27"/>
  <c r="F248" i="27"/>
  <c r="D248" i="27"/>
  <c r="H247" i="27"/>
  <c r="F247" i="27"/>
  <c r="D247" i="27"/>
  <c r="H246" i="27"/>
  <c r="F246" i="27"/>
  <c r="D246" i="27"/>
  <c r="H245" i="27"/>
  <c r="F245" i="27"/>
  <c r="D245" i="27"/>
  <c r="H244" i="27"/>
  <c r="F244" i="27"/>
  <c r="D244" i="27"/>
  <c r="H243" i="27"/>
  <c r="F243" i="27"/>
  <c r="D243" i="27"/>
  <c r="H242" i="27"/>
  <c r="F242" i="27"/>
  <c r="D242" i="27"/>
  <c r="H241" i="27"/>
  <c r="F241" i="27"/>
  <c r="D241" i="27"/>
  <c r="H238" i="27"/>
  <c r="F238" i="27"/>
  <c r="D238" i="27"/>
  <c r="H237" i="27"/>
  <c r="F237" i="27"/>
  <c r="D237" i="27"/>
  <c r="H236" i="27"/>
  <c r="F236" i="27"/>
  <c r="D236" i="27"/>
  <c r="H233" i="27"/>
  <c r="F233" i="27"/>
  <c r="D233" i="27"/>
  <c r="H232" i="27"/>
  <c r="F232" i="27"/>
  <c r="D232" i="27"/>
  <c r="H231" i="27"/>
  <c r="F231" i="27"/>
  <c r="D231" i="27"/>
  <c r="H230" i="27"/>
  <c r="F230" i="27"/>
  <c r="D230" i="27"/>
  <c r="H229" i="27"/>
  <c r="F229" i="27"/>
  <c r="D229" i="27"/>
  <c r="H228" i="27"/>
  <c r="F228" i="27"/>
  <c r="D228" i="27"/>
  <c r="H225" i="27"/>
  <c r="F225" i="27"/>
  <c r="D225" i="27"/>
  <c r="H224" i="27"/>
  <c r="F224" i="27"/>
  <c r="D224" i="27"/>
  <c r="H221" i="27"/>
  <c r="F221" i="27"/>
  <c r="D221" i="27"/>
  <c r="H220" i="27"/>
  <c r="F220" i="27"/>
  <c r="D220" i="27"/>
  <c r="H219" i="27"/>
  <c r="F219" i="27"/>
  <c r="D219" i="27"/>
  <c r="H218" i="27"/>
  <c r="F218" i="27"/>
  <c r="D218" i="27"/>
  <c r="H217" i="27"/>
  <c r="F217" i="27"/>
  <c r="D217" i="27"/>
  <c r="H216" i="27"/>
  <c r="F216" i="27"/>
  <c r="D216" i="27"/>
  <c r="H215" i="27"/>
  <c r="F215" i="27"/>
  <c r="D215" i="27"/>
  <c r="H214" i="27"/>
  <c r="F214" i="27"/>
  <c r="D214" i="27"/>
  <c r="H211" i="27"/>
  <c r="F211" i="27"/>
  <c r="D211" i="27"/>
  <c r="H210" i="27"/>
  <c r="F210" i="27"/>
  <c r="D210" i="27"/>
  <c r="H209" i="27"/>
  <c r="F209" i="27"/>
  <c r="D209" i="27"/>
  <c r="H208" i="27"/>
  <c r="F208" i="27"/>
  <c r="D208" i="27"/>
  <c r="H207" i="27"/>
  <c r="F207" i="27"/>
  <c r="D207" i="27"/>
  <c r="H204" i="27"/>
  <c r="F204" i="27"/>
  <c r="D204" i="27"/>
  <c r="H203" i="27"/>
  <c r="F203" i="27"/>
  <c r="D203" i="27"/>
  <c r="H202" i="27"/>
  <c r="F202" i="27"/>
  <c r="D202" i="27"/>
  <c r="H201" i="27"/>
  <c r="F201" i="27"/>
  <c r="D201" i="27"/>
  <c r="H200" i="27"/>
  <c r="F200" i="27"/>
  <c r="D200" i="27"/>
  <c r="H199" i="27"/>
  <c r="F199" i="27"/>
  <c r="D199" i="27"/>
  <c r="H198" i="27"/>
  <c r="F198" i="27"/>
  <c r="D198" i="27"/>
  <c r="H197" i="27"/>
  <c r="F197" i="27"/>
  <c r="D197" i="27"/>
  <c r="H196" i="27"/>
  <c r="F196" i="27"/>
  <c r="D196" i="27"/>
  <c r="H195" i="27"/>
  <c r="F195" i="27"/>
  <c r="D195" i="27"/>
  <c r="H192" i="27"/>
  <c r="F192" i="27"/>
  <c r="D192" i="27"/>
  <c r="H191" i="27"/>
  <c r="F191" i="27"/>
  <c r="D191" i="27"/>
  <c r="H190" i="27"/>
  <c r="F190" i="27"/>
  <c r="D190" i="27"/>
  <c r="H189" i="27"/>
  <c r="F189" i="27"/>
  <c r="D189" i="27"/>
  <c r="H188" i="27"/>
  <c r="F188" i="27"/>
  <c r="D188" i="27"/>
  <c r="H187" i="27"/>
  <c r="F187" i="27"/>
  <c r="D187" i="27"/>
  <c r="H184" i="27"/>
  <c r="F184" i="27"/>
  <c r="D184" i="27"/>
  <c r="H183" i="27"/>
  <c r="F183" i="27"/>
  <c r="D183" i="27"/>
  <c r="H182" i="27"/>
  <c r="F182" i="27"/>
  <c r="D182" i="27"/>
  <c r="H181" i="27"/>
  <c r="F181" i="27"/>
  <c r="D181" i="27"/>
  <c r="H178" i="27"/>
  <c r="F178" i="27"/>
  <c r="D178" i="27"/>
  <c r="H177" i="27"/>
  <c r="F177" i="27"/>
  <c r="D177" i="27"/>
  <c r="H176" i="27"/>
  <c r="F176" i="27"/>
  <c r="D176" i="27"/>
  <c r="H175" i="27"/>
  <c r="F175" i="27"/>
  <c r="D175" i="27"/>
  <c r="H174" i="27"/>
  <c r="F174" i="27"/>
  <c r="D174" i="27"/>
  <c r="H173" i="27"/>
  <c r="F173" i="27"/>
  <c r="D173" i="27"/>
  <c r="H170" i="27"/>
  <c r="F170" i="27"/>
  <c r="D170" i="27"/>
  <c r="H169" i="27"/>
  <c r="F169" i="27"/>
  <c r="D169" i="27"/>
  <c r="H168" i="27"/>
  <c r="F168" i="27"/>
  <c r="D168" i="27"/>
  <c r="H167" i="27"/>
  <c r="F167" i="27"/>
  <c r="D167" i="27"/>
  <c r="H166" i="27"/>
  <c r="F166" i="27"/>
  <c r="D166" i="27"/>
  <c r="H165" i="27"/>
  <c r="F165" i="27"/>
  <c r="D165" i="27"/>
  <c r="H164" i="27"/>
  <c r="F164" i="27"/>
  <c r="D164" i="27"/>
  <c r="H163" i="27"/>
  <c r="F163" i="27"/>
  <c r="D163" i="27"/>
  <c r="H160" i="27"/>
  <c r="F160" i="27"/>
  <c r="D160" i="27"/>
  <c r="H159" i="27"/>
  <c r="F159" i="27"/>
  <c r="D159" i="27"/>
  <c r="H158" i="27"/>
  <c r="F158" i="27"/>
  <c r="D158" i="27"/>
  <c r="H157" i="27"/>
  <c r="F157" i="27"/>
  <c r="D157" i="27"/>
  <c r="H156" i="27"/>
  <c r="F156" i="27"/>
  <c r="D156" i="27"/>
  <c r="H155" i="27"/>
  <c r="F155" i="27"/>
  <c r="D155" i="27"/>
  <c r="H152" i="27"/>
  <c r="F152" i="27"/>
  <c r="D152" i="27"/>
  <c r="H151" i="27"/>
  <c r="F151" i="27"/>
  <c r="D151" i="27"/>
  <c r="H150" i="27"/>
  <c r="F150" i="27"/>
  <c r="D150" i="27"/>
  <c r="H149" i="27"/>
  <c r="F149" i="27"/>
  <c r="D149" i="27"/>
  <c r="H148" i="27"/>
  <c r="F148" i="27"/>
  <c r="D148" i="27"/>
  <c r="H145" i="27"/>
  <c r="F145" i="27"/>
  <c r="D145" i="27"/>
  <c r="H144" i="27"/>
  <c r="F144" i="27"/>
  <c r="D144" i="27"/>
  <c r="H143" i="27"/>
  <c r="F143" i="27"/>
  <c r="D143" i="27"/>
  <c r="H140" i="27"/>
  <c r="F140" i="27"/>
  <c r="D140" i="27"/>
  <c r="H139" i="27"/>
  <c r="F139" i="27"/>
  <c r="D139" i="27"/>
  <c r="H136" i="27"/>
  <c r="F136" i="27"/>
  <c r="D136" i="27"/>
  <c r="H135" i="27"/>
  <c r="F135" i="27"/>
  <c r="D135" i="27"/>
  <c r="H134" i="27"/>
  <c r="F134" i="27"/>
  <c r="D134" i="27"/>
  <c r="H133" i="27"/>
  <c r="F133" i="27"/>
  <c r="D133" i="27"/>
  <c r="H132" i="27"/>
  <c r="F132" i="27"/>
  <c r="D132" i="27"/>
  <c r="H131" i="27"/>
  <c r="F131" i="27"/>
  <c r="D131" i="27"/>
  <c r="H130" i="27"/>
  <c r="F130" i="27"/>
  <c r="D130" i="27"/>
  <c r="H127" i="27"/>
  <c r="F127" i="27"/>
  <c r="D127" i="27"/>
  <c r="H126" i="27"/>
  <c r="F126" i="27"/>
  <c r="D126" i="27"/>
  <c r="H123" i="27"/>
  <c r="F123" i="27"/>
  <c r="D123" i="27"/>
  <c r="H122" i="27"/>
  <c r="F122" i="27"/>
  <c r="D122" i="27"/>
  <c r="H119" i="27"/>
  <c r="F119" i="27"/>
  <c r="D119" i="27"/>
  <c r="H118" i="27"/>
  <c r="F118" i="27"/>
  <c r="D118" i="27"/>
  <c r="H117" i="27"/>
  <c r="F117" i="27"/>
  <c r="D117" i="27"/>
  <c r="H116" i="27"/>
  <c r="F116" i="27"/>
  <c r="D116" i="27"/>
  <c r="H115" i="27"/>
  <c r="F115" i="27"/>
  <c r="D115" i="27"/>
  <c r="H114" i="27"/>
  <c r="F114" i="27"/>
  <c r="D114" i="27"/>
  <c r="H113" i="27"/>
  <c r="F113" i="27"/>
  <c r="D113" i="27"/>
  <c r="H112" i="27"/>
  <c r="F112" i="27"/>
  <c r="D112" i="27"/>
  <c r="H111" i="27"/>
  <c r="F111" i="27"/>
  <c r="D111" i="27"/>
  <c r="H110" i="27"/>
  <c r="F110" i="27"/>
  <c r="D110" i="27"/>
  <c r="H109" i="27"/>
  <c r="F109" i="27"/>
  <c r="D109" i="27"/>
  <c r="H108" i="27"/>
  <c r="F108" i="27"/>
  <c r="D108" i="27"/>
  <c r="H105" i="27"/>
  <c r="F105" i="27"/>
  <c r="D105" i="27"/>
  <c r="H104" i="27"/>
  <c r="F104" i="27"/>
  <c r="D104" i="27"/>
  <c r="H103" i="27"/>
  <c r="F103" i="27"/>
  <c r="D103" i="27"/>
  <c r="H102" i="27"/>
  <c r="F102" i="27"/>
  <c r="D102" i="27"/>
  <c r="H101" i="27"/>
  <c r="F101" i="27"/>
  <c r="D101" i="27"/>
  <c r="H100" i="27"/>
  <c r="F100" i="27"/>
  <c r="D100" i="27"/>
  <c r="H97" i="27"/>
  <c r="F97" i="27"/>
  <c r="D97" i="27"/>
  <c r="H96" i="27"/>
  <c r="F96" i="27"/>
  <c r="D96" i="27"/>
  <c r="H95" i="27"/>
  <c r="F95" i="27"/>
  <c r="D95" i="27"/>
  <c r="H94" i="27"/>
  <c r="F94" i="27"/>
  <c r="D94" i="27"/>
  <c r="H91" i="27"/>
  <c r="F91" i="27"/>
  <c r="D91" i="27"/>
  <c r="H90" i="27"/>
  <c r="F90" i="27"/>
  <c r="D90" i="27"/>
  <c r="H89" i="27"/>
  <c r="F89" i="27"/>
  <c r="D89" i="27"/>
  <c r="H86" i="27"/>
  <c r="F86" i="27"/>
  <c r="D86" i="27"/>
  <c r="H85" i="27"/>
  <c r="F85" i="27"/>
  <c r="D85" i="27"/>
  <c r="H84" i="27"/>
  <c r="F84" i="27"/>
  <c r="D84" i="27"/>
  <c r="H83" i="27"/>
  <c r="F83" i="27"/>
  <c r="D83" i="27"/>
  <c r="H82" i="27"/>
  <c r="F82" i="27"/>
  <c r="D82" i="27"/>
  <c r="H81" i="27"/>
  <c r="F81" i="27"/>
  <c r="D81" i="27"/>
  <c r="H80" i="27"/>
  <c r="F80" i="27"/>
  <c r="D80" i="27"/>
  <c r="H77" i="27"/>
  <c r="F77" i="27"/>
  <c r="D77" i="27"/>
  <c r="H76" i="27"/>
  <c r="F76" i="27"/>
  <c r="D76" i="27"/>
  <c r="H75" i="27"/>
  <c r="F75" i="27"/>
  <c r="D75" i="27"/>
  <c r="H72" i="27"/>
  <c r="F72" i="27"/>
  <c r="D72" i="27"/>
  <c r="H71" i="27"/>
  <c r="F71" i="27"/>
  <c r="D71" i="27"/>
  <c r="H68" i="27"/>
  <c r="F68" i="27"/>
  <c r="D68" i="27"/>
  <c r="H67" i="27"/>
  <c r="F67" i="27"/>
  <c r="D67" i="27"/>
  <c r="H64" i="27"/>
  <c r="F64" i="27"/>
  <c r="D64" i="27"/>
  <c r="H63" i="27"/>
  <c r="F63" i="27"/>
  <c r="D63" i="27"/>
  <c r="H60" i="27"/>
  <c r="F60" i="27"/>
  <c r="D60" i="27"/>
  <c r="H59" i="27"/>
  <c r="F59" i="27"/>
  <c r="D59" i="27"/>
  <c r="H58" i="27"/>
  <c r="F58" i="27"/>
  <c r="D58" i="27"/>
  <c r="H57" i="27"/>
  <c r="F57" i="27"/>
  <c r="D57" i="27"/>
  <c r="H54" i="27"/>
  <c r="F54" i="27"/>
  <c r="D54" i="27"/>
  <c r="H53" i="27"/>
  <c r="F53" i="27"/>
  <c r="D53" i="27"/>
  <c r="H52" i="27"/>
  <c r="F52" i="27"/>
  <c r="D52" i="27"/>
  <c r="H49" i="27"/>
  <c r="F49" i="27"/>
  <c r="D49" i="27"/>
  <c r="H48" i="27"/>
  <c r="F48" i="27"/>
  <c r="D48" i="27"/>
  <c r="H47" i="27"/>
  <c r="F47" i="27"/>
  <c r="D47" i="27"/>
  <c r="H46" i="27"/>
  <c r="F46" i="27"/>
  <c r="D46" i="27"/>
  <c r="H45" i="27"/>
  <c r="F45" i="27"/>
  <c r="D45" i="27"/>
  <c r="H42" i="27"/>
  <c r="F42" i="27"/>
  <c r="D42" i="27"/>
  <c r="H39" i="27"/>
  <c r="F39" i="27"/>
  <c r="D39" i="27"/>
  <c r="H38" i="27"/>
  <c r="F38" i="27"/>
  <c r="D38" i="27"/>
  <c r="H35" i="27"/>
  <c r="F35" i="27"/>
  <c r="D35" i="27"/>
  <c r="H34" i="27"/>
  <c r="F34" i="27"/>
  <c r="D34" i="27"/>
  <c r="H33" i="27"/>
  <c r="F33" i="27"/>
  <c r="D33" i="27"/>
  <c r="H32" i="27"/>
  <c r="F32" i="27"/>
  <c r="D32" i="27"/>
  <c r="H31" i="27"/>
  <c r="F31" i="27"/>
  <c r="D31" i="27"/>
  <c r="H30" i="27"/>
  <c r="F30" i="27"/>
  <c r="D30" i="27"/>
  <c r="H29" i="27"/>
  <c r="F29" i="27"/>
  <c r="D29" i="27"/>
  <c r="H28" i="27"/>
  <c r="F28" i="27"/>
  <c r="D28" i="27"/>
  <c r="H27" i="27"/>
  <c r="F27" i="27"/>
  <c r="D27" i="27"/>
  <c r="H26" i="27"/>
  <c r="F26" i="27"/>
  <c r="D26" i="27"/>
  <c r="H25" i="27"/>
  <c r="F25" i="27"/>
  <c r="D25" i="27"/>
  <c r="H24" i="27"/>
  <c r="F24" i="27"/>
  <c r="D24" i="27"/>
  <c r="H23" i="27"/>
  <c r="F23" i="27"/>
  <c r="D23" i="27"/>
  <c r="H22" i="27"/>
  <c r="F22" i="27"/>
  <c r="D22" i="27"/>
  <c r="H21" i="27"/>
  <c r="F21" i="27"/>
  <c r="D21" i="27"/>
  <c r="H20" i="27"/>
  <c r="F20" i="27"/>
  <c r="D20" i="27"/>
  <c r="H19" i="27"/>
  <c r="F19" i="27"/>
  <c r="D19" i="27"/>
  <c r="H18" i="27"/>
  <c r="F18" i="27"/>
  <c r="D18" i="27"/>
  <c r="H17" i="27"/>
  <c r="F17" i="27"/>
  <c r="D17" i="27"/>
  <c r="H16" i="27"/>
  <c r="F16" i="27"/>
  <c r="D16" i="27"/>
  <c r="H15" i="27"/>
  <c r="F15" i="27"/>
  <c r="D15" i="27"/>
  <c r="H14" i="27"/>
  <c r="F14" i="27"/>
  <c r="D14" i="27"/>
  <c r="H13" i="27"/>
  <c r="F13" i="27"/>
  <c r="D13" i="27"/>
  <c r="H12" i="27"/>
  <c r="F12" i="27"/>
  <c r="D12" i="27"/>
  <c r="H11" i="27"/>
  <c r="F11" i="27"/>
  <c r="D11" i="27"/>
  <c r="H10" i="27"/>
  <c r="F10" i="27"/>
  <c r="D10" i="27"/>
  <c r="H9" i="27"/>
  <c r="F9" i="27"/>
  <c r="D9" i="27"/>
  <c r="H6" i="27"/>
  <c r="F6" i="27"/>
  <c r="D6" i="27"/>
  <c r="H5" i="27"/>
  <c r="F5" i="27"/>
  <c r="D5" i="27"/>
  <c r="H4" i="27"/>
  <c r="F4" i="27"/>
  <c r="D4" i="27"/>
  <c r="U389" i="27" l="1"/>
  <c r="F9" i="24" l="1"/>
  <c r="F10" i="24"/>
  <c r="D35" i="20"/>
  <c r="D36" i="20" s="1"/>
  <c r="E35" i="20"/>
  <c r="F35" i="20"/>
  <c r="F36" i="20" s="1"/>
  <c r="G35" i="20"/>
  <c r="G36" i="20" s="1"/>
  <c r="H35" i="20"/>
  <c r="H36" i="20" s="1"/>
  <c r="E36" i="20"/>
  <c r="C35" i="20"/>
  <c r="C30" i="20"/>
  <c r="C13" i="20"/>
  <c r="C14" i="20" s="1"/>
  <c r="C15" i="20" s="1"/>
  <c r="C16" i="20" s="1"/>
  <c r="C36" i="20" l="1"/>
  <c r="F20" i="24"/>
  <c r="D20" i="24"/>
  <c r="C20" i="24"/>
  <c r="E19" i="24"/>
  <c r="E18" i="24"/>
  <c r="E17" i="24"/>
  <c r="E16" i="24"/>
  <c r="E15" i="24"/>
  <c r="E20" i="24" s="1"/>
  <c r="F11" i="24"/>
  <c r="D11" i="24"/>
  <c r="D22" i="24" s="1"/>
  <c r="C11" i="24"/>
  <c r="E10" i="24"/>
  <c r="E9" i="24"/>
  <c r="E8" i="24"/>
  <c r="E7" i="24"/>
  <c r="E6" i="24"/>
  <c r="E38" i="20"/>
  <c r="D38" i="20"/>
  <c r="F38" i="20"/>
  <c r="H38" i="20"/>
  <c r="G38" i="20" l="1"/>
  <c r="C22" i="24"/>
  <c r="E11" i="24"/>
  <c r="G11" i="24" s="1"/>
  <c r="F22" i="24"/>
  <c r="G20" i="24"/>
  <c r="E22" i="24" l="1"/>
  <c r="G22" i="24" s="1"/>
</calcChain>
</file>

<file path=xl/sharedStrings.xml><?xml version="1.0" encoding="utf-8"?>
<sst xmlns="http://schemas.openxmlformats.org/spreadsheetml/2006/main" count="6243" uniqueCount="1473">
  <si>
    <t>Insurance  Company</t>
  </si>
  <si>
    <t xml:space="preserve">Best  Rating </t>
  </si>
  <si>
    <t>Subject to Texas Guaranty Fund</t>
  </si>
  <si>
    <t>60 Day Notice of Cancellation</t>
  </si>
  <si>
    <t>Added Coverages or Limitations:</t>
  </si>
  <si>
    <t>Limits:</t>
  </si>
  <si>
    <t>Premiums:</t>
  </si>
  <si>
    <t>Per  Occurrence  Deductible</t>
  </si>
  <si>
    <t>Policy year 2</t>
  </si>
  <si>
    <t>Policy year 3</t>
  </si>
  <si>
    <t>Occurrence</t>
  </si>
  <si>
    <t>Claims Made (Yes or No)</t>
  </si>
  <si>
    <t>If  Claims  Made,  Retro  Date</t>
  </si>
  <si>
    <t>CRIME  INSURANCE</t>
  </si>
  <si>
    <t>Classification of Employees:</t>
  </si>
  <si>
    <t>Employee Dishonesty</t>
  </si>
  <si>
    <t>Forgery or Alteration</t>
  </si>
  <si>
    <t>Inside</t>
  </si>
  <si>
    <t>Outside</t>
  </si>
  <si>
    <t xml:space="preserve">Messenger Robbery </t>
  </si>
  <si>
    <t>Premises Burglary</t>
  </si>
  <si>
    <t>Faithful Performance</t>
  </si>
  <si>
    <t>Deductible</t>
  </si>
  <si>
    <t>Added  Coverages  or  Limitations:</t>
  </si>
  <si>
    <t>Added Coverages or Limitations</t>
  </si>
  <si>
    <t>Year</t>
  </si>
  <si>
    <t># Claims</t>
  </si>
  <si>
    <t>Paid</t>
  </si>
  <si>
    <t>Reserved</t>
  </si>
  <si>
    <t>Total</t>
  </si>
  <si>
    <t>Premium</t>
  </si>
  <si>
    <t>General Liability</t>
  </si>
  <si>
    <t>Educators Liability</t>
  </si>
  <si>
    <t>Claims over $10,000</t>
  </si>
  <si>
    <t>Loss Date</t>
  </si>
  <si>
    <t>Claimant</t>
  </si>
  <si>
    <t>Amount</t>
  </si>
  <si>
    <t>PROPERTY</t>
  </si>
  <si>
    <t>Current</t>
  </si>
  <si>
    <t xml:space="preserve">   Wind/Hail Definition</t>
  </si>
  <si>
    <t>Full Replacement Cost Valuation</t>
  </si>
  <si>
    <t>Agreed  Amount,  No  Coinsurance</t>
  </si>
  <si>
    <t>Coinsurance</t>
  </si>
  <si>
    <t>Blanket Policy by Entire Schedule</t>
  </si>
  <si>
    <t xml:space="preserve">   Margin % (RCV &gt; Schedule) </t>
  </si>
  <si>
    <t>No Pro Rata Distribution Clause</t>
  </si>
  <si>
    <t>Increased Cost of Construction</t>
  </si>
  <si>
    <t>No  Monthly  Limit  (Extra  Expense)</t>
  </si>
  <si>
    <t>Rental Income</t>
  </si>
  <si>
    <t>Backup of Sewers &amp; Drains</t>
  </si>
  <si>
    <t>All  Risk  Including  Theft</t>
  </si>
  <si>
    <t>Appraisals included (Yes or No)</t>
  </si>
  <si>
    <t>Additional cost for appraisals</t>
  </si>
  <si>
    <t>OTHER  PROPERTY</t>
  </si>
  <si>
    <t>Limit</t>
  </si>
  <si>
    <t>Total Other Property Premium</t>
  </si>
  <si>
    <t>Newly Acquired Limit</t>
  </si>
  <si>
    <t>Method to avoid endorsements</t>
  </si>
  <si>
    <t>during policy term</t>
  </si>
  <si>
    <t>BOILER  &amp;  MACHINERY</t>
  </si>
  <si>
    <t>Expediting  Expense</t>
  </si>
  <si>
    <t>Hazardous  Materials</t>
  </si>
  <si>
    <t xml:space="preserve">   $   1,000  Deductible</t>
  </si>
  <si>
    <t xml:space="preserve">   $  5,000  Deductible</t>
  </si>
  <si>
    <t>Wind/Hail Deductible</t>
  </si>
  <si>
    <t>Repair  or  Replacement</t>
  </si>
  <si>
    <t>Stipulated  Time:  18  Months</t>
  </si>
  <si>
    <t>Definition  of  Boiler:</t>
  </si>
  <si>
    <t>Inspections covered at no cost?</t>
  </si>
  <si>
    <t>Company</t>
  </si>
  <si>
    <t>Description</t>
  </si>
  <si>
    <t>CLAIM HISTORY (excess of deductible)</t>
  </si>
  <si>
    <t>Newly Acquired Locations (Days)</t>
  </si>
  <si>
    <t>Sprinkler Leakage</t>
  </si>
  <si>
    <t>Pollutant Cleanup &amp; Removal</t>
  </si>
  <si>
    <t>Flood Maps Checked (Yes or No)</t>
  </si>
  <si>
    <t>Rate Guarantee year 1</t>
  </si>
  <si>
    <t>Totals</t>
  </si>
  <si>
    <t>Department Heads</t>
  </si>
  <si>
    <t>Bookkeepers &amp; Cashiers</t>
  </si>
  <si>
    <t>Best Rating</t>
  </si>
  <si>
    <t>Miscellaneous Equipment Premium</t>
  </si>
  <si>
    <t>Other Employees including PT</t>
  </si>
  <si>
    <t>Year Built</t>
  </si>
  <si>
    <t>Musical Instruments, Uniforms Premium</t>
  </si>
  <si>
    <t>Scheduled Property Premium</t>
  </si>
  <si>
    <t>Audio Visual Limit</t>
  </si>
  <si>
    <t>Agricultural Equipment Limit</t>
  </si>
  <si>
    <t>Security Radios Limit</t>
  </si>
  <si>
    <t>Office Equipment Limit</t>
  </si>
  <si>
    <t>EDP Software Limit</t>
  </si>
  <si>
    <t>EDP Breakdown Limit</t>
  </si>
  <si>
    <t>EDP EquipmentLimit</t>
  </si>
  <si>
    <t>Electronic Equipment &amp; Data Premium</t>
  </si>
  <si>
    <t>Transit Insured Locations</t>
  </si>
  <si>
    <t>Transit Off Premises</t>
  </si>
  <si>
    <t>Newly Acquired Property</t>
  </si>
  <si>
    <t>Contractor Equipment Premium</t>
  </si>
  <si>
    <t>Equipment Limit</t>
  </si>
  <si>
    <t>Newly Acquired Property Limit</t>
  </si>
  <si>
    <t>Employee Tools &amp; Clothing</t>
  </si>
  <si>
    <t>Miscellaneous Hand Tools</t>
  </si>
  <si>
    <t>Borrowed Property</t>
  </si>
  <si>
    <t>Named Flood</t>
  </si>
  <si>
    <t>Location</t>
  </si>
  <si>
    <t>Minimum Deductible</t>
  </si>
  <si>
    <t>Maximum Deductible</t>
  </si>
  <si>
    <t>Named Wind</t>
  </si>
  <si>
    <t>Primary or Excess</t>
  </si>
  <si>
    <t>Values</t>
  </si>
  <si>
    <t>Per Occurrence AOP Limit</t>
  </si>
  <si>
    <t>Extra  Expense or Business Income</t>
  </si>
  <si>
    <t>Electronic Data Processing</t>
  </si>
  <si>
    <t>Property of Others Limit</t>
  </si>
  <si>
    <t>Accounts Receivable Limit</t>
  </si>
  <si>
    <t>Valuable Papers Limit</t>
  </si>
  <si>
    <t>Limit per __________________</t>
  </si>
  <si>
    <t xml:space="preserve">   Bldg &amp; Cts if only one is damaged?</t>
  </si>
  <si>
    <t>Earthquake Limit</t>
  </si>
  <si>
    <t>Foreign Terrorism Limit</t>
  </si>
  <si>
    <t>Premium (Included?)</t>
  </si>
  <si>
    <t>Domestic Terrorism Limit</t>
  </si>
  <si>
    <t>Premiums Including Taxes &amp; Fees:</t>
  </si>
  <si>
    <t>Per  Occurrence  Deductible (Yes or No)</t>
  </si>
  <si>
    <t>Loss Ratio Required</t>
  </si>
  <si>
    <t>Limits</t>
  </si>
  <si>
    <t>Limit per Location</t>
  </si>
  <si>
    <t>Limit per Building</t>
  </si>
  <si>
    <t>Limit per Contents</t>
  </si>
  <si>
    <t>Limit per Occurrence (Blanket)</t>
  </si>
  <si>
    <t>Deductible per Location</t>
  </si>
  <si>
    <t>Deductible per Building</t>
  </si>
  <si>
    <t>Deductible per Contents</t>
  </si>
  <si>
    <t>Deductible per Occurrence</t>
  </si>
  <si>
    <t>FLOOD if not included above</t>
  </si>
  <si>
    <t>Primary Flood other than A Zones</t>
  </si>
  <si>
    <t xml:space="preserve">   Minimum Deductible Amount</t>
  </si>
  <si>
    <t xml:space="preserve">   Maximum Deductible Amount</t>
  </si>
  <si>
    <t>Excess of NFIP?</t>
  </si>
  <si>
    <t>Primary Flood Zones A, AE, AO</t>
  </si>
  <si>
    <t>Excess Flood</t>
  </si>
  <si>
    <t>Additional Information:</t>
  </si>
  <si>
    <t xml:space="preserve">   Total Building Limit</t>
  </si>
  <si>
    <t xml:space="preserve">   Total Contents Limit</t>
  </si>
  <si>
    <t xml:space="preserve">Limits:  </t>
  </si>
  <si>
    <t>Unlimited Prior Acts</t>
  </si>
  <si>
    <t>Extended Reporting Period</t>
  </si>
  <si>
    <t xml:space="preserve">      Cost</t>
  </si>
  <si>
    <t>Lifetime Extend Reporting Cost</t>
  </si>
  <si>
    <t>Additional Limits:</t>
  </si>
  <si>
    <t>Demolition Costs</t>
  </si>
  <si>
    <t>Debris Removal</t>
  </si>
  <si>
    <t>Building Ordinance or Law</t>
  </si>
  <si>
    <t>Off Premises Power Interruption</t>
  </si>
  <si>
    <t xml:space="preserve">   Does Max Ded apply per Occurrence?</t>
  </si>
  <si>
    <t>Does Minimum apply per Occurrence, TIV, Location, Campus or Line Item, Bldg or Bldg &amp; Cts unit damaged?</t>
  </si>
  <si>
    <t>Specific Attachment Point</t>
  </si>
  <si>
    <t>Specific Limit</t>
  </si>
  <si>
    <t>Aggregate Attachment Point</t>
  </si>
  <si>
    <t>Aggregate Limit</t>
  </si>
  <si>
    <r>
      <t xml:space="preserve">© </t>
    </r>
    <r>
      <rPr>
        <sz val="12"/>
        <rFont val="Garamond"/>
        <family val="1"/>
      </rPr>
      <t>ROBERT  V.  REIM  COMPANY</t>
    </r>
  </si>
  <si>
    <t>Extra Expense</t>
  </si>
  <si>
    <t>Water Damage</t>
  </si>
  <si>
    <t>Off Premises Service Interruption</t>
  </si>
  <si>
    <t>Ordinance or Law</t>
  </si>
  <si>
    <t>Error in Description</t>
  </si>
  <si>
    <t>Ammonia Contamination</t>
  </si>
  <si>
    <t>Media</t>
  </si>
  <si>
    <t>Required?</t>
  </si>
  <si>
    <t xml:space="preserve">   Waiting Period or Deductible</t>
  </si>
  <si>
    <t>Outside of Buildings Limit</t>
  </si>
  <si>
    <t>Total Other Property Limit</t>
  </si>
  <si>
    <t xml:space="preserve">Deductible </t>
  </si>
  <si>
    <t>Dishonesty Limit</t>
  </si>
  <si>
    <t>Money Limit</t>
  </si>
  <si>
    <t>Flood Zones</t>
  </si>
  <si>
    <t>Flood Restrictions</t>
  </si>
  <si>
    <t>Total Property Premium</t>
  </si>
  <si>
    <t>Property Rate</t>
  </si>
  <si>
    <t>Best Ratings:</t>
  </si>
  <si>
    <t>Hail Deductible</t>
  </si>
  <si>
    <t>Terrorism Limit</t>
  </si>
  <si>
    <t xml:space="preserve">Coverage </t>
  </si>
  <si>
    <t>Property including Equipment Breakdown &amp; Scheduled Property</t>
  </si>
  <si>
    <t>Agency Fee Included in Premium</t>
  </si>
  <si>
    <t>Definition of Location</t>
  </si>
  <si>
    <t>Catastrophe Auto Damage Limit/Ded.</t>
  </si>
  <si>
    <t xml:space="preserve">Comprehensive coverage applies to any boiler, any fired vessel, any unfired vessel subject to vacuum or internal pressure other than static pressure of contents, any refrigerating system, or any piping and its accessory equipment including any boiler or pressure vessel mounted on mobile equipment. </t>
  </si>
  <si>
    <t>Comprehensive coverage also applies to any mechanical or electrical machine or electrical apparatus used for generation, transmission, or utilization of mechanical or electrical power.</t>
  </si>
  <si>
    <t>Replacement Cost Values</t>
  </si>
  <si>
    <t>Is "Green" coverage included?</t>
  </si>
  <si>
    <t>For existing "Green" buildings?</t>
  </si>
  <si>
    <t>For existing "Non Green" buildings?</t>
  </si>
  <si>
    <t>If the District shows all of the school buildings at a campus as one location on the schedule, will the % deductible apply to each building, each line item, each address or the total value at that location?</t>
  </si>
  <si>
    <t>For new "Green" construction?</t>
  </si>
  <si>
    <t>For new "Non-Green" construction?</t>
  </si>
  <si>
    <t>Computer Fraud by Employees</t>
  </si>
  <si>
    <t>Computer Fraud by Others</t>
  </si>
  <si>
    <t>Under what conditions will Functional Replacement Cost apply?</t>
  </si>
  <si>
    <t>Under what conditions will Actual Cash Value apply?</t>
  </si>
  <si>
    <t>Will all claims be settled on a Replacement Cost basis?</t>
  </si>
  <si>
    <t>Year Roof Update</t>
  </si>
  <si>
    <t>Agent or Representative</t>
  </si>
  <si>
    <t>SUMMARY OF INSURANCE PROPOSALS</t>
  </si>
  <si>
    <t xml:space="preserve">Crime Company </t>
  </si>
  <si>
    <t>Property Company</t>
  </si>
  <si>
    <t>Boiler &amp; Machinery Company</t>
  </si>
  <si>
    <t>Note: Risk Pool Audited Financials - show "as of" date of most recent audit</t>
  </si>
  <si>
    <t>Servicing Company</t>
  </si>
  <si>
    <t>Pool Reinsurance</t>
  </si>
  <si>
    <t>AOP Reinsurer:</t>
  </si>
  <si>
    <t>Wind Perils Reinsurer:</t>
  </si>
  <si>
    <t>Named Wind Perils Reinsurer:</t>
  </si>
  <si>
    <t>Hail Reinsurer:</t>
  </si>
  <si>
    <t>Assessments</t>
  </si>
  <si>
    <t>Total Assessment</t>
  </si>
  <si>
    <t>Number Participants Sharing</t>
  </si>
  <si>
    <t>Basis (Premium?)</t>
  </si>
  <si>
    <t>Average Assessment</t>
  </si>
  <si>
    <t>Reinsurance</t>
  </si>
  <si>
    <t>Specific Retention</t>
  </si>
  <si>
    <t>Aggregate Retention</t>
  </si>
  <si>
    <t>Insuror</t>
  </si>
  <si>
    <t>Renewal Date</t>
  </si>
  <si>
    <t>Workers Compensation</t>
  </si>
  <si>
    <t xml:space="preserve">   Next layer</t>
  </si>
  <si>
    <t>EPL</t>
  </si>
  <si>
    <t>Law Liability</t>
  </si>
  <si>
    <t>Auto Liability</t>
  </si>
  <si>
    <t>Auto Damage</t>
  </si>
  <si>
    <t>Property AOP</t>
  </si>
  <si>
    <t>Property Wind</t>
  </si>
  <si>
    <t>Provide list of all members:</t>
  </si>
  <si>
    <t>Pipe Breaks or Leakage</t>
  </si>
  <si>
    <t>Notes:</t>
  </si>
  <si>
    <t>Total Property Limit</t>
  </si>
  <si>
    <t>Additional Limit or Sublimit?</t>
  </si>
  <si>
    <t>Provide list of clients who have left within the past three years, including reason &amp; successor:</t>
  </si>
  <si>
    <t>Flood</t>
  </si>
  <si>
    <t>Other than Wind Limit (AOP)</t>
  </si>
  <si>
    <t>Fine Arts Limit</t>
  </si>
  <si>
    <t>Rate Guarantee Casualty:</t>
  </si>
  <si>
    <t>Rate Guarantee Property:</t>
  </si>
  <si>
    <t>Hail Limit</t>
  </si>
  <si>
    <t>SERVICES</t>
  </si>
  <si>
    <t>Claims</t>
  </si>
  <si>
    <t>Loss Prevention</t>
  </si>
  <si>
    <t>Loss Prevention servicing company</t>
  </si>
  <si>
    <t>Charges</t>
  </si>
  <si>
    <t>Describe materials/resources</t>
  </si>
  <si>
    <t>Describe services</t>
  </si>
  <si>
    <t>Number of visits per year</t>
  </si>
  <si>
    <t>Experience, training &amp; qualifications</t>
  </si>
  <si>
    <t>Representative's name</t>
  </si>
  <si>
    <t>Reports available</t>
  </si>
  <si>
    <t>Location of adjusters</t>
  </si>
  <si>
    <t>Assigned adjuster's name</t>
  </si>
  <si>
    <t>Loss report frequency</t>
  </si>
  <si>
    <t>Are loss reports available on line</t>
  </si>
  <si>
    <t>Can losses be reported on line</t>
  </si>
  <si>
    <t xml:space="preserve">   E-mail address</t>
  </si>
  <si>
    <t xml:space="preserve">   Direct phone number</t>
  </si>
  <si>
    <t>Phone number for reporting claims</t>
  </si>
  <si>
    <t>Fax number for reporting claims</t>
  </si>
  <si>
    <t xml:space="preserve">   By Department &amp; by Location</t>
  </si>
  <si>
    <t xml:space="preserve">   By Type of Injury</t>
  </si>
  <si>
    <t xml:space="preserve">   Indicate Paid &amp; Incurred</t>
  </si>
  <si>
    <t xml:space="preserve">   Others on Demand</t>
  </si>
  <si>
    <t xml:space="preserve">      Turn around time</t>
  </si>
  <si>
    <t xml:space="preserve">      Charges</t>
  </si>
  <si>
    <t>Quarterly review with adjuster</t>
  </si>
  <si>
    <t>Claim servicing company</t>
  </si>
  <si>
    <t>Underwriter name if direct writer</t>
  </si>
  <si>
    <t>Complete separate column for each company</t>
  </si>
  <si>
    <t>Other than Wind Deductible (AOP)</t>
  </si>
  <si>
    <t>Agent &amp; Company</t>
  </si>
  <si>
    <t>Flood Limit not Zone A</t>
  </si>
  <si>
    <t>Flood Limit Zone A</t>
  </si>
  <si>
    <t>Extra Expense Limit</t>
  </si>
  <si>
    <t>Flood Deductible not Zone A</t>
  </si>
  <si>
    <t>Flood Deductible Zone A</t>
  </si>
  <si>
    <t>Band Instruments, Uniforms Limit</t>
  </si>
  <si>
    <t>Motorized Unlicensed Equipment Damage</t>
  </si>
  <si>
    <t>Provide graph if layered</t>
  </si>
  <si>
    <t>Layer</t>
  </si>
  <si>
    <t>Excess of</t>
  </si>
  <si>
    <t>Agency</t>
  </si>
  <si>
    <t>Perils</t>
  </si>
  <si>
    <t>AOP</t>
  </si>
  <si>
    <t>Wind &amp; Hail</t>
  </si>
  <si>
    <t>Named Wind &amp; Hail</t>
  </si>
  <si>
    <t>Total Limit with Primary</t>
  </si>
  <si>
    <t>Deductibles</t>
  </si>
  <si>
    <t>If % Minimum</t>
  </si>
  <si>
    <t>If % Maximum</t>
  </si>
  <si>
    <t>Additional Information</t>
  </si>
  <si>
    <t>DEDUCTIBLE BUY DOWN</t>
  </si>
  <si>
    <t>Complete separate column for each layer</t>
  </si>
  <si>
    <t>Insurance Company</t>
  </si>
  <si>
    <t>Covers Education Foundation funds?</t>
  </si>
  <si>
    <t>Provide example of early claim payment in the event of Property loss</t>
  </si>
  <si>
    <t>2014-15</t>
  </si>
  <si>
    <t>2013-14</t>
  </si>
  <si>
    <t>2012-13</t>
  </si>
  <si>
    <t>Covers Tax Office Employees of District?</t>
  </si>
  <si>
    <t>Covers ERISA?</t>
  </si>
  <si>
    <t>Covers Employee Benefit plans?</t>
  </si>
  <si>
    <t>Library Books Limit</t>
  </si>
  <si>
    <t>Misc. Unnamed Location Limit</t>
  </si>
  <si>
    <t>Personal Effects of Employees</t>
  </si>
  <si>
    <t>Property in Course of Construction</t>
  </si>
  <si>
    <t>Errors and Omissions</t>
  </si>
  <si>
    <t>Mold, Fungus or Mildew Limit</t>
  </si>
  <si>
    <t>Spoilage</t>
  </si>
  <si>
    <t>Theft by volunteers?</t>
  </si>
  <si>
    <t>Covers Booster Club funds?</t>
  </si>
  <si>
    <t>Covers Booster PTO-PTA funds?</t>
  </si>
  <si>
    <t>Tax Assessor?</t>
  </si>
  <si>
    <t>Crisis Management/Public Relations</t>
  </si>
  <si>
    <t>PCI Fines &amp; Costs</t>
  </si>
  <si>
    <t>Deductibles:</t>
  </si>
  <si>
    <t>Aggregate All Claims</t>
  </si>
  <si>
    <t>Premium including Taxes &amp; Fees:</t>
  </si>
  <si>
    <t>Discovery  Period:</t>
  </si>
  <si>
    <t>Business Interruption</t>
  </si>
  <si>
    <t>Fine Arts Premium</t>
  </si>
  <si>
    <t>Covers:</t>
  </si>
  <si>
    <t>Copyright violations</t>
  </si>
  <si>
    <t>Infringement of intellectual property</t>
  </si>
  <si>
    <t>Breach of confidence</t>
  </si>
  <si>
    <t>Infringement of right to privacy</t>
  </si>
  <si>
    <t>Statute violation-confidential information</t>
  </si>
  <si>
    <t>Defamation from e-mails or internet use</t>
  </si>
  <si>
    <t>Transmission of virus</t>
  </si>
  <si>
    <t>Failure to provide user access</t>
  </si>
  <si>
    <t>Reputational Harm</t>
  </si>
  <si>
    <t>Emergency response plan</t>
  </si>
  <si>
    <t>Additional Insured available</t>
  </si>
  <si>
    <t>Network security &amp; privacy policy templates</t>
  </si>
  <si>
    <t>Defense outside of limits</t>
  </si>
  <si>
    <t>Tax Office events</t>
  </si>
  <si>
    <t>E-mails</t>
  </si>
  <si>
    <t>Onsite response time</t>
  </si>
  <si>
    <t>Services available</t>
  </si>
  <si>
    <t>Loss Prevention:</t>
  </si>
  <si>
    <t xml:space="preserve">DATA &amp; CYBER BREACH </t>
  </si>
  <si>
    <t>Includes Outside of Bldgs &amp; Off-Campus</t>
  </si>
  <si>
    <t>Sub Limits included</t>
  </si>
  <si>
    <t>Buildings Limit</t>
  </si>
  <si>
    <t>Business Personal Property Limit</t>
  </si>
  <si>
    <t>Computer Equipment Limit</t>
  </si>
  <si>
    <t>Audio Visual Equipment Limit</t>
  </si>
  <si>
    <t>Security Radios</t>
  </si>
  <si>
    <t>Wind/Hail</t>
  </si>
  <si>
    <t>Wind Limit</t>
  </si>
  <si>
    <t xml:space="preserve">   Wind Deductible amount or %</t>
  </si>
  <si>
    <t xml:space="preserve">   Hail Deductible amount or %</t>
  </si>
  <si>
    <t>If %, does % apply per Occurrence, TIV, Location, Campus, Line Item, Bldg or Bldg &amp; Cts unit damaged?</t>
  </si>
  <si>
    <r>
      <t xml:space="preserve">Limit: </t>
    </r>
    <r>
      <rPr>
        <b/>
        <sz val="12"/>
        <color indexed="17"/>
        <rFont val="Arial"/>
        <family val="2"/>
      </rPr>
      <t/>
    </r>
  </si>
  <si>
    <r>
      <t xml:space="preserve">   Minimum Deductible</t>
    </r>
    <r>
      <rPr>
        <b/>
        <sz val="12"/>
        <rFont val="Arial"/>
        <family val="2"/>
      </rPr>
      <t/>
    </r>
  </si>
  <si>
    <r>
      <t xml:space="preserve">   Maximum Deductible</t>
    </r>
    <r>
      <rPr>
        <b/>
        <sz val="12"/>
        <rFont val="Arial"/>
        <family val="2"/>
      </rPr>
      <t/>
    </r>
  </si>
  <si>
    <t xml:space="preserve">$  50,000 AOP Deductible </t>
  </si>
  <si>
    <t xml:space="preserve">$100,000 AOP Deductible </t>
  </si>
  <si>
    <t>Off Premises Limit</t>
  </si>
  <si>
    <t>Audio Visual Premium</t>
  </si>
  <si>
    <t>Property in Transit</t>
  </si>
  <si>
    <t>Wind Deductible</t>
  </si>
  <si>
    <t>Audited Financials Date (if no rating)</t>
  </si>
  <si>
    <t>Member Equity $ (if no rating)</t>
  </si>
  <si>
    <t>Under what conditions would the premium shown above change?</t>
  </si>
  <si>
    <t>Has the Company ever had a member assessment?</t>
  </si>
  <si>
    <t xml:space="preserve">   Location/Occurrence</t>
  </si>
  <si>
    <t xml:space="preserve">   Each/Occurrence</t>
  </si>
  <si>
    <t xml:space="preserve">   or Limits per Schedule</t>
  </si>
  <si>
    <t>Business Interruption from above</t>
  </si>
  <si>
    <t>Risk Pool or Insurance Company Name</t>
  </si>
  <si>
    <t xml:space="preserve">   $10,000  Deductible</t>
  </si>
  <si>
    <t xml:space="preserve"> Audit Date</t>
  </si>
  <si>
    <t>Risk Pool Name………….</t>
  </si>
  <si>
    <t>Marketed By……………….</t>
  </si>
  <si>
    <t xml:space="preserve">Managed By………………………. </t>
  </si>
  <si>
    <t>Claim Payor……………………..</t>
  </si>
  <si>
    <t>Loss Prevention Co…………………..</t>
  </si>
  <si>
    <t># Members…………………………..</t>
  </si>
  <si>
    <t xml:space="preserve">Assets…………………………….. </t>
  </si>
  <si>
    <t xml:space="preserve">Liabilities………………………... </t>
  </si>
  <si>
    <t>Member Equity………………………..</t>
  </si>
  <si>
    <t xml:space="preserve">Contributions………………………….. </t>
  </si>
  <si>
    <t>Audited Financial Statement Attached……………………..</t>
  </si>
  <si>
    <t xml:space="preserve"> Underwriter……………………….. </t>
  </si>
  <si>
    <t xml:space="preserve"> Actuary…………………………………</t>
  </si>
  <si>
    <t xml:space="preserve"> Adjuster…………………………………..</t>
  </si>
  <si>
    <t xml:space="preserve"> Claim Management………………………..</t>
  </si>
  <si>
    <t xml:space="preserve"> Auditor……………………………….</t>
  </si>
  <si>
    <t xml:space="preserve"> Opinion Qualified/Unqualified……………………</t>
  </si>
  <si>
    <t xml:space="preserve"> Investment Advisor………………………</t>
  </si>
  <si>
    <t xml:space="preserve"> Investment Consultant………………….</t>
  </si>
  <si>
    <t xml:space="preserve"> (Premiums or Revenue)…………………</t>
  </si>
  <si>
    <t>Date Started………….</t>
  </si>
  <si>
    <t>% ISDs….</t>
  </si>
  <si>
    <t>% Colleges..</t>
  </si>
  <si>
    <t xml:space="preserve">Number of Schools in Tier I &amp; II…………………………….. </t>
  </si>
  <si>
    <t>Total Insured Named Wind Values Tier I &amp; II….</t>
  </si>
  <si>
    <t>Pool Named Wind Exposure Tier I &amp; II</t>
  </si>
  <si>
    <t>Total number of districts insured</t>
  </si>
  <si>
    <t>Total values insured</t>
  </si>
  <si>
    <t>Shared pool limit</t>
  </si>
  <si>
    <t>Current Premium</t>
  </si>
  <si>
    <t>Premium at Renewal Values</t>
  </si>
  <si>
    <t xml:space="preserve">Vacancy Occupancy Clause Language </t>
  </si>
  <si>
    <t>Vacancy Definition</t>
  </si>
  <si>
    <t>Unoccupied Definition</t>
  </si>
  <si>
    <t>Days</t>
  </si>
  <si>
    <t>ISO EC 00 10 01 14 Form?</t>
  </si>
  <si>
    <t>Web Site Publishing Liability</t>
  </si>
  <si>
    <t>Security Breach Liability</t>
  </si>
  <si>
    <t>Programming Errors &amp; Omissions</t>
  </si>
  <si>
    <t>Restoration of Electronic Data</t>
  </si>
  <si>
    <t>Extortion Threats</t>
  </si>
  <si>
    <t>Business Income &amp; Extra Expense</t>
  </si>
  <si>
    <t>Public Relations Expense</t>
  </si>
  <si>
    <t>Security Breach Expense</t>
  </si>
  <si>
    <t>Total Premium</t>
  </si>
  <si>
    <t>Crime</t>
  </si>
  <si>
    <t>Bleachers</t>
  </si>
  <si>
    <t>Ticket Booths</t>
  </si>
  <si>
    <t>Restrooms</t>
  </si>
  <si>
    <t>Fences</t>
  </si>
  <si>
    <t>Signs</t>
  </si>
  <si>
    <t>Dugouts</t>
  </si>
  <si>
    <t>Press Boxes</t>
  </si>
  <si>
    <t>Tennis Courts</t>
  </si>
  <si>
    <t>Dressing Rooms</t>
  </si>
  <si>
    <t>Tracks</t>
  </si>
  <si>
    <t>Light Poles</t>
  </si>
  <si>
    <t>If not listed on the schedule are these items included in the Blanket coverage?</t>
  </si>
  <si>
    <t>Score Boards</t>
  </si>
  <si>
    <t>Is there a limitation?</t>
  </si>
  <si>
    <t>Concession Stands</t>
  </si>
  <si>
    <t>Batting Cages</t>
  </si>
  <si>
    <t>Computer Media Limit</t>
  </si>
  <si>
    <r>
      <t xml:space="preserve">Per Occurrence </t>
    </r>
    <r>
      <rPr>
        <b/>
        <sz val="12"/>
        <color indexed="17"/>
        <rFont val="Arial"/>
        <family val="2"/>
      </rPr>
      <t>Wind</t>
    </r>
    <r>
      <rPr>
        <sz val="12"/>
        <rFont val="Arial"/>
        <family val="2"/>
      </rPr>
      <t xml:space="preserve"> Limit</t>
    </r>
  </si>
  <si>
    <r>
      <t xml:space="preserve">Per Occurrence </t>
    </r>
    <r>
      <rPr>
        <b/>
        <sz val="12"/>
        <color indexed="17"/>
        <rFont val="Arial"/>
        <family val="2"/>
      </rPr>
      <t>Hail</t>
    </r>
    <r>
      <rPr>
        <sz val="12"/>
        <rFont val="Arial"/>
        <family val="2"/>
      </rPr>
      <t xml:space="preserve"> Limit</t>
    </r>
  </si>
  <si>
    <r>
      <rPr>
        <b/>
        <sz val="12"/>
        <color indexed="12"/>
        <rFont val="Arial"/>
        <family val="2"/>
      </rPr>
      <t>Flood</t>
    </r>
    <r>
      <rPr>
        <sz val="12"/>
        <rFont val="Arial"/>
        <family val="2"/>
      </rPr>
      <t xml:space="preserve"> (other than Zone A) Limit</t>
    </r>
  </si>
  <si>
    <r>
      <rPr>
        <b/>
        <sz val="12"/>
        <color indexed="12"/>
        <rFont val="Arial"/>
        <family val="2"/>
      </rPr>
      <t>Flood</t>
    </r>
    <r>
      <rPr>
        <sz val="12"/>
        <rFont val="Arial"/>
        <family val="2"/>
      </rPr>
      <t xml:space="preserve"> (Zone A) Limit</t>
    </r>
  </si>
  <si>
    <t>Equipment-Power Limit</t>
  </si>
  <si>
    <t>Equipment-Misc Limit</t>
  </si>
  <si>
    <t>Equipment-Rented or Leased Limit</t>
  </si>
  <si>
    <t>Pool Limit</t>
  </si>
  <si>
    <t>Rented &amp; Leased Equipment Limit</t>
  </si>
  <si>
    <t>Insurance Company Name</t>
  </si>
  <si>
    <t xml:space="preserve">   Phone number</t>
  </si>
  <si>
    <t>Insurance Company Underwriter</t>
  </si>
  <si>
    <t xml:space="preserve">Insurance Agency or Direct Writer </t>
  </si>
  <si>
    <t>Account Executive Name</t>
  </si>
  <si>
    <t xml:space="preserve">   Direct Office Phone</t>
  </si>
  <si>
    <t xml:space="preserve">   E-mail Address</t>
  </si>
  <si>
    <t xml:space="preserve">   Cell Phone</t>
  </si>
  <si>
    <t xml:space="preserve">   Home Phone</t>
  </si>
  <si>
    <t>Number Texas School Clients</t>
  </si>
  <si>
    <t>Number Commercial Clients</t>
  </si>
  <si>
    <t>Years with Firm</t>
  </si>
  <si>
    <t>Years in Insurance</t>
  </si>
  <si>
    <t>Designations</t>
  </si>
  <si>
    <t>Previous Experience</t>
  </si>
  <si>
    <t>Assistant Name</t>
  </si>
  <si>
    <t xml:space="preserve">   Assistant Direct Phone</t>
  </si>
  <si>
    <t xml:space="preserve">   Assistant E-mail Address</t>
  </si>
  <si>
    <t>CSR Name</t>
  </si>
  <si>
    <t xml:space="preserve">   CSR Direct Phone</t>
  </si>
  <si>
    <t xml:space="preserve">   CSR E-mail Address</t>
  </si>
  <si>
    <t>Under what conditions will Actual Cash Value apply to roofs?</t>
  </si>
  <si>
    <t>Are Workers Compensation and Property Casualty in the same pool? ...................</t>
  </si>
  <si>
    <t>Have there been any rate increases during a policy period? ...........................................</t>
  </si>
  <si>
    <t>Have multi-year rate guarantees been recalculated? .......................................................</t>
  </si>
  <si>
    <t>What are the requirements for a term rate guarantee? ……………………………………</t>
  </si>
  <si>
    <t>Is the depreciation amount paid once repairs have been made and paid for? …………………………….</t>
  </si>
  <si>
    <t xml:space="preserve">   Has ACV or RCV amount ever been paid in installments? ………………………………………………..</t>
  </si>
  <si>
    <t>Drones</t>
  </si>
  <si>
    <t>Basketball Courts</t>
  </si>
  <si>
    <t>Covered Wallways</t>
  </si>
  <si>
    <t>Flag Poles</t>
  </si>
  <si>
    <t>Fuel Tanks</t>
  </si>
  <si>
    <t>Modular Play Systems</t>
  </si>
  <si>
    <t>Playground Equipment</t>
  </si>
  <si>
    <t>2015-16</t>
  </si>
  <si>
    <t>Number of Texas schools insured</t>
  </si>
  <si>
    <t>Any breach including unintentional</t>
  </si>
  <si>
    <t>Notified Individuals Aggregate</t>
  </si>
  <si>
    <t>Notified Individuals Number Limit</t>
  </si>
  <si>
    <t>Legal/Forensic Expense Aggregate</t>
  </si>
  <si>
    <t>Regulatory Defense &amp; Penalties with or without Suit</t>
  </si>
  <si>
    <t>Call Center</t>
  </si>
  <si>
    <t>Credit &amp; Identity Monitoring</t>
  </si>
  <si>
    <t>Virus Transmission</t>
  </si>
  <si>
    <t>Acts of third parties</t>
  </si>
  <si>
    <t>Any breach or failure to protect</t>
  </si>
  <si>
    <t>Coverage off premises</t>
  </si>
  <si>
    <t>Data Loss &amp; Restoration</t>
  </si>
  <si>
    <t>Extortion</t>
  </si>
  <si>
    <t>Failure of security software</t>
  </si>
  <si>
    <t>Failure to design, maintain &amp; upgrade security</t>
  </si>
  <si>
    <t>Network/Business Interruption</t>
  </si>
  <si>
    <t>Regulatory action with or without suit</t>
  </si>
  <si>
    <t>Theft by non-electronic means</t>
  </si>
  <si>
    <t>Theft of non-electronic data or paper</t>
  </si>
  <si>
    <t>Theft of password</t>
  </si>
  <si>
    <t>Theft or destruction of personal data</t>
  </si>
  <si>
    <t>Property Hail</t>
  </si>
  <si>
    <t>Flood Zones B, X Shaded (100-500 Year)</t>
  </si>
  <si>
    <t>Flood Zones C, X Unshaded (500+ Year)</t>
  </si>
  <si>
    <t>Flood Zones all A, V (within 100 Year)</t>
  </si>
  <si>
    <t>Playing Surfaces</t>
  </si>
  <si>
    <t xml:space="preserve">   Deductible Tracks &amp; Fields</t>
  </si>
  <si>
    <t>Is Deductible excess of NFIP if NFIP purchased?</t>
  </si>
  <si>
    <t>Is Deductible excess of NFIP if NFIP not purchased?</t>
  </si>
  <si>
    <t>Is the Flood Zone determined by the location or the structure elevation?</t>
  </si>
  <si>
    <t>Are there a Named Storm Limits &amp; Deductibles?</t>
  </si>
  <si>
    <t>2016-17</t>
  </si>
  <si>
    <t xml:space="preserve">Included </t>
  </si>
  <si>
    <t>TASB</t>
  </si>
  <si>
    <t>50,000 xs NFIP</t>
  </si>
  <si>
    <t>Not Covered</t>
  </si>
  <si>
    <t>Not Zone A</t>
  </si>
  <si>
    <t>TASB RMF</t>
  </si>
  <si>
    <t>Included</t>
  </si>
  <si>
    <t>DISD</t>
  </si>
  <si>
    <t>Hail Damage</t>
  </si>
  <si>
    <t>Property</t>
  </si>
  <si>
    <t>GroupID</t>
  </si>
  <si>
    <t>ContractID</t>
  </si>
  <si>
    <t>ContractName</t>
  </si>
  <si>
    <t>MemberID</t>
  </si>
  <si>
    <t>MemberName</t>
  </si>
  <si>
    <t>Campus_Site</t>
  </si>
  <si>
    <t>Campus_Site_Name</t>
  </si>
  <si>
    <t>BldgName</t>
  </si>
  <si>
    <t>ID</t>
  </si>
  <si>
    <t>DateofInspection</t>
  </si>
  <si>
    <t>ScopeofService</t>
  </si>
  <si>
    <t>AvgStoryHght</t>
  </si>
  <si>
    <t>Floors</t>
  </si>
  <si>
    <t>ExteriorWallType</t>
  </si>
  <si>
    <t>Heating</t>
  </si>
  <si>
    <t>Cooling</t>
  </si>
  <si>
    <t>RoofMaterial</t>
  </si>
  <si>
    <t>RoofPitch</t>
  </si>
  <si>
    <t>ElevatorPassenger</t>
  </si>
  <si>
    <t>BuildingAddress1</t>
  </si>
  <si>
    <t>BuildingCity</t>
  </si>
  <si>
    <t>BuildingState</t>
  </si>
  <si>
    <t>BuildingZip</t>
  </si>
  <si>
    <t>Latitude</t>
  </si>
  <si>
    <t>Longitude</t>
  </si>
  <si>
    <t>Misc</t>
  </si>
  <si>
    <t>Previous_CRN</t>
  </si>
  <si>
    <t>Asset_ID</t>
  </si>
  <si>
    <t>PROVIDENCE ELEMENTARY</t>
  </si>
  <si>
    <t>TASB Risk Management Fund</t>
  </si>
  <si>
    <t>DENTON INDEPENDENT SCHOOL DISTRICT</t>
  </si>
  <si>
    <t>MAIN ELEMENTARY BUILDING</t>
  </si>
  <si>
    <t>T</t>
  </si>
  <si>
    <t>Y</t>
  </si>
  <si>
    <t>4 - MASONRY NON-COMBUSTIBLE (100 %),</t>
  </si>
  <si>
    <t>BRICK, ON MASONRY ( 70 % ) , STONE ON MASONRY ( 30 % )</t>
  </si>
  <si>
    <t>ROOFTOP UNIT (HEATING) ( 100 % )</t>
  </si>
  <si>
    <t>ROOFTOP UNIT (COOLING) ( 100 % )</t>
  </si>
  <si>
    <t>ASPHALT SHINGLES ( 5 % ) , BUILT-UP, SMOOTH ( 95 % )</t>
  </si>
  <si>
    <t>FLAT ( 95 % ) , LOW (2:12 TO 6:12 PITCH) ( 5 % )</t>
  </si>
  <si>
    <t>1000 FM 2931</t>
  </si>
  <si>
    <t>AUBREY</t>
  </si>
  <si>
    <t>TX</t>
  </si>
  <si>
    <t>N 33-13-33.2</t>
  </si>
  <si>
    <t>W 096-57-50.1</t>
  </si>
  <si>
    <t>WALK-IN COOLERS &amp; FREEZERS ; CANOPIES ; CANOPIES ; KITCHEN - EXHAUST HOOD W/FIRE PROTECTION ; BASKETBALL BACKBOARDS &amp; SUPPORTS - FOLDING ; HANDICAP RAMP ; CAMERAS</t>
  </si>
  <si>
    <t>PORTABLE CLASSROOM 5</t>
  </si>
  <si>
    <t>N</t>
  </si>
  <si>
    <t>1 - FRAME (100 %),</t>
  </si>
  <si>
    <t>SIDING, METAL OR OTHER ON FRAME ( 100 % )</t>
  </si>
  <si>
    <t>THRU WALL UNITS ( 100 % )</t>
  </si>
  <si>
    <t>THRU-WALL UNIT ( 100 % )</t>
  </si>
  <si>
    <t>STEEL ( 100 % )</t>
  </si>
  <si>
    <t>LOW (2:12 TO 6:12 PITCH) ( 100 % )</t>
  </si>
  <si>
    <t>N 33-13-35.8</t>
  </si>
  <si>
    <t>W 096-57-51.2</t>
  </si>
  <si>
    <t>HANDICAP RAMP</t>
  </si>
  <si>
    <t>LAND IMPROVEMENTS</t>
  </si>
  <si>
    <t>X - NOT APPLICABLE (0 %),</t>
  </si>
  <si>
    <t>DENTON HIGH SCHOOL</t>
  </si>
  <si>
    <t>MAIN HIGH SCHOOL BUILDING</t>
  </si>
  <si>
    <t>BRICK, ON MASONRY ( 70 % ) , CONCRETE BLOCK ( 10 % ) , SIDING, METAL OR OTHER ON MASONRY ( 20 % )</t>
  </si>
  <si>
    <t>BUILT-UP, SMOOTH ( 100 % )</t>
  </si>
  <si>
    <t>FLAT ( 100 % )</t>
  </si>
  <si>
    <t>1007 FULTON</t>
  </si>
  <si>
    <t>DENTON</t>
  </si>
  <si>
    <t>N 33-13-28.6</t>
  </si>
  <si>
    <t>W 097-08-37.7</t>
  </si>
  <si>
    <t>AUDITORIUM SEATING - UNUPHOLSTERED ; BASKETBALL BACKBOARDS &amp; SUPPORTS - FIXED ; BASKETBALL BACKBOARDS &amp; SUPPORTS - FOLDING ; BASKETBALL SCOREBOARD, WALL TYPE ; BLEACHERS &amp; GRANDSTANDS - PERMANENT ; BL</t>
  </si>
  <si>
    <t>FIELD HOUSE</t>
  </si>
  <si>
    <t>BRICK, ON MASONRY ( 80 % ) , CURTAIN WALL, GLASS ( 20 % )</t>
  </si>
  <si>
    <t>N 33-13-24.6</t>
  </si>
  <si>
    <t>W 097-08-33.0</t>
  </si>
  <si>
    <t>CANOPIES</t>
  </si>
  <si>
    <t>BASEBALL CONCESSIONS BUILDING 1</t>
  </si>
  <si>
    <t>2 - JOISTED MASONRY (100 %),</t>
  </si>
  <si>
    <t>BRICK ON MASONRY ( 100 % )</t>
  </si>
  <si>
    <t>NONE ( 100 % )</t>
  </si>
  <si>
    <t>BUILT-UP/TAR AND GRAVEL ( 100 % )</t>
  </si>
  <si>
    <t>N 33-13-28.5</t>
  </si>
  <si>
    <t>W 097-08-46.5</t>
  </si>
  <si>
    <t>BASEBALL STORAGE BUILDING 1</t>
  </si>
  <si>
    <t>3 - NON-COMBUSTIBLE (100 %),</t>
  </si>
  <si>
    <t>SIDING, METAL OR OTHER ON GIRTS ( 100 % )</t>
  </si>
  <si>
    <t>W 097-08-46.9</t>
  </si>
  <si>
    <t>BASEBALL STORAGE BUILDING 2</t>
  </si>
  <si>
    <t>SIDING, WOOD ON FRAME ( 100 % )</t>
  </si>
  <si>
    <t>SHINGLES, ASPHALT ( 100 % )</t>
  </si>
  <si>
    <t>N 33-13-31.7</t>
  </si>
  <si>
    <t>W 097-08-49.9</t>
  </si>
  <si>
    <t>BASEBALL DUGOUT 1</t>
  </si>
  <si>
    <t>CONCRETE BLOCK, SPLIT FACE ( 100 % )</t>
  </si>
  <si>
    <t>N 33-13-28.7</t>
  </si>
  <si>
    <t>W 097-08-48.5</t>
  </si>
  <si>
    <t>BASEBALL DUGOUT 2</t>
  </si>
  <si>
    <t>N 33-13-29.8</t>
  </si>
  <si>
    <t>W 097-08-49.7</t>
  </si>
  <si>
    <t>BASEBALL PRESS BOX</t>
  </si>
  <si>
    <t>W 097-08-49.8</t>
  </si>
  <si>
    <t>BLEACHERS</t>
  </si>
  <si>
    <t>BASEBALL CONCESSIONS BUILDING 2</t>
  </si>
  <si>
    <t>W 097-08-49.5</t>
  </si>
  <si>
    <t>FOOTBALL STORAGE BUILDING 1</t>
  </si>
  <si>
    <t>CONCRETE BLOCK ( 100 % )</t>
  </si>
  <si>
    <t>N 33-13-22.0</t>
  </si>
  <si>
    <t>W 097-08-35.3</t>
  </si>
  <si>
    <t>PRESS BOX / GRANSTAND</t>
  </si>
  <si>
    <t>SIDING, METAL OR OTHER ON MASONRY ( 30 % ) , CONCRETE BLOCK, SPLIT FACE ( 70 % )</t>
  </si>
  <si>
    <t>FORCED WARM AIR ( 100 % )</t>
  </si>
  <si>
    <t>FORCED COOL AIR ( 100 % )</t>
  </si>
  <si>
    <t>N 33-13-21.2</t>
  </si>
  <si>
    <t>W 097-08-35.4</t>
  </si>
  <si>
    <t>GRANDSTANDS</t>
  </si>
  <si>
    <t>HOME CONCESSION/RESTROOMS</t>
  </si>
  <si>
    <t>ASPHALT SHINGLES ( 100 % )</t>
  </si>
  <si>
    <t>N 33-13-19.7</t>
  </si>
  <si>
    <t>FOOTBALL HOME TICKET BOOTH</t>
  </si>
  <si>
    <t>N 33-13-23.5</t>
  </si>
  <si>
    <t>W 097-08-35.0</t>
  </si>
  <si>
    <t>CANOPY</t>
  </si>
  <si>
    <t>FOOTBALL STORAGE BUILDING 2</t>
  </si>
  <si>
    <t>N 33-13-20.5</t>
  </si>
  <si>
    <t>VISITOR CONCESSIONS BUILDING</t>
  </si>
  <si>
    <t>CONCRETE BLOCK ( 80 % ) , CONCRETE BLOCK, SPLIT FACE ( 20 % )</t>
  </si>
  <si>
    <t>N 33-13-20.7</t>
  </si>
  <si>
    <t>W 097-08-30.6</t>
  </si>
  <si>
    <t>FOOTBALL VISITORS PRESS BOX</t>
  </si>
  <si>
    <t>N 33-13-21.3</t>
  </si>
  <si>
    <t>W 097-08-31.1</t>
  </si>
  <si>
    <t>FOOTBALL VISITORS TICKET BOOTH</t>
  </si>
  <si>
    <t>N 33-13-23.8</t>
  </si>
  <si>
    <t>W 097-08-30.8</t>
  </si>
  <si>
    <t>TRACK STORAGE BUILDING</t>
  </si>
  <si>
    <t>N 33-13-28.9</t>
  </si>
  <si>
    <t>W 097-08-29.8</t>
  </si>
  <si>
    <t>BAY DOOR</t>
  </si>
  <si>
    <t>TRACK PRESS BOX</t>
  </si>
  <si>
    <t>SOFTBALL DUGOUT 1</t>
  </si>
  <si>
    <t>W 097-08-29.2</t>
  </si>
  <si>
    <t>SOFTBALL DUGOUT 2</t>
  </si>
  <si>
    <t>N 33-13-20.4</t>
  </si>
  <si>
    <t>W 097-08-30.3</t>
  </si>
  <si>
    <t>SOFTBALL PRESS BOX</t>
  </si>
  <si>
    <t>W 097-08-29.6</t>
  </si>
  <si>
    <t>PORTABLE CLASSROOM 16</t>
  </si>
  <si>
    <t>N 33-13-31.9</t>
  </si>
  <si>
    <t>W 097-08-45.3</t>
  </si>
  <si>
    <t>PORTABLE CLASSROOM 82</t>
  </si>
  <si>
    <t>N 33-13-31.1</t>
  </si>
  <si>
    <t>PORTABLE CLASSROOM 81</t>
  </si>
  <si>
    <t>N 33-13-30.4</t>
  </si>
  <si>
    <t>W 097-08-45.4</t>
  </si>
  <si>
    <t>PORTABLE CLASSROOM 24</t>
  </si>
  <si>
    <t>N 33-13-30.7</t>
  </si>
  <si>
    <t>SAVANNAH ELEMENTARY</t>
  </si>
  <si>
    <t>BRICK, ON MASONRY ( 85 % ) , STONE ON MASONRY ( 15 % )</t>
  </si>
  <si>
    <t>1101 COTTON EXCHANGE</t>
  </si>
  <si>
    <t>N 33-13-29.3</t>
  </si>
  <si>
    <t>W 096-54-44.8</t>
  </si>
  <si>
    <t>WALK-IN COOLERS &amp; FREEZERS , CANOPIES , CANOPIES , KITCHEN - EXHAUST HOOD W/FIRE PROTECTION , BASKETBALL BACKBOARDS &amp; SUPPORTS - FOLDING , CAMERAS/////CORRECTED ZIP CODE 110713. DTB</t>
  </si>
  <si>
    <t>CORRECTED ZIP CODE 110713. DTB</t>
  </si>
  <si>
    <t>DAVIS AEP</t>
  </si>
  <si>
    <t>1125 DAVIS STREET</t>
  </si>
  <si>
    <t>MAIN SCHOOL BUILDING</t>
  </si>
  <si>
    <t>BRICK, ON MASONRY ( 100 % )</t>
  </si>
  <si>
    <t>ASPHALT SHINGLES ( 15 % ) , BUILT-UP, SMOOTH ( 85 % )</t>
  </si>
  <si>
    <t>FLAT ( 85 % ) , LOW (2:12 TO 6:12 PITCH) ( 15 % )</t>
  </si>
  <si>
    <t>N 33-13-05.1</t>
  </si>
  <si>
    <t>W 097-07-07.2</t>
  </si>
  <si>
    <t>CANOPIES ; CAMERAS ; HANDICAP RAMP</t>
  </si>
  <si>
    <t>SPECIAL ED SERVICES</t>
  </si>
  <si>
    <t>SPECIAL EDUCATION OFFICES</t>
  </si>
  <si>
    <t>BRICK, ON MASONRY ( 95 % ) , STUCCO ON MASONRY ( 5 % )</t>
  </si>
  <si>
    <t>BUILT-UP, TAR AND GRAVEL ( 100 % )</t>
  </si>
  <si>
    <t>1205 WEST UNIVERSITY</t>
  </si>
  <si>
    <t>N 33-13-44.6</t>
  </si>
  <si>
    <t>W 097-08-44.1</t>
  </si>
  <si>
    <t>PORTABLE CLASSROOM 67</t>
  </si>
  <si>
    <t>N 33-13-42.1</t>
  </si>
  <si>
    <t>W 097-08-45.2</t>
  </si>
  <si>
    <t>PORTABLE CLASSROOM 83</t>
  </si>
  <si>
    <t>N 33-13-43.7</t>
  </si>
  <si>
    <t>W 097-08-43.8</t>
  </si>
  <si>
    <t>PDC &amp; INSURANCE</t>
  </si>
  <si>
    <t>PROFESSIONAL DEVELOPMENT BUILDING</t>
  </si>
  <si>
    <t>BRICK, ON MASONRY ( 80 % ) , CONCRETE BLOCK ( 20 % )</t>
  </si>
  <si>
    <t>ASPHALT SHINGLES ( 70 % ) , BUILT-UP, TAR AND GRAVEL ( 30 % )</t>
  </si>
  <si>
    <t>FLAT ( 30 % ) , LOW (2:12 TO 6:12 PITCH) ( 70 % )</t>
  </si>
  <si>
    <t>1212 BOLIVAR</t>
  </si>
  <si>
    <t>N 33-13-32.4</t>
  </si>
  <si>
    <t>W 097-08-05.7</t>
  </si>
  <si>
    <t>INSURANCE PORTABLE BUILDING-LEASED</t>
  </si>
  <si>
    <t>1314 BOLIVAR</t>
  </si>
  <si>
    <t>W 097-08-05.0</t>
  </si>
  <si>
    <t>HANDICAP RAMP/DECK/////CORRECTED ADDRESS AND ZIP CODE 110713. DTB</t>
  </si>
  <si>
    <t>MCNAIL ELEMENTARY</t>
  </si>
  <si>
    <t>1212 HICKORY CREEK ROAD</t>
  </si>
  <si>
    <t>N 33-08-47.2</t>
  </si>
  <si>
    <t>W 097-07-13.1</t>
  </si>
  <si>
    <t>BASKETBALL BACKBOARDS &amp; SUPPORTS - FOLDING ; CANOPIES ; WALK-IN COOLERS &amp; FREEZERS ; HANDICAP RAMP ; CAMERAS</t>
  </si>
  <si>
    <t>PORTABLE CLASSROOM 42</t>
  </si>
  <si>
    <t>N 33-08-48.1</t>
  </si>
  <si>
    <t>W 097-07-16.1</t>
  </si>
  <si>
    <t>CORRECTED ADDRESS 110713. DTB</t>
  </si>
  <si>
    <t>PORTABLE CLASSROOM 41</t>
  </si>
  <si>
    <t>N 33-08-47.6</t>
  </si>
  <si>
    <t>W 097-07-16.6</t>
  </si>
  <si>
    <t>GONZALEZ SCHOOL FYC</t>
  </si>
  <si>
    <t>BUILT-UP, TAR AND GRAVEL ( 80 % ) , STEEL ( 20 % )</t>
  </si>
  <si>
    <t>FLAT ( 80 % ) , LOW (2:12 TO 6:12 PITCH) ( 20 % )</t>
  </si>
  <si>
    <t>1212 LONG ROAD</t>
  </si>
  <si>
    <t>N 33-15-47.6</t>
  </si>
  <si>
    <t>W 097-07-09.3</t>
  </si>
  <si>
    <t>KITCHEN - EXHAUST HOOD W/FIRE PROTECTION , CANOPIES , WALK-IN COOLERS &amp; FREEZERS , CAMERAS/////CORRECTED ZIP CODE 110713. DTB</t>
  </si>
  <si>
    <t>CORRECTED ADDRESS, CITY &amp; ZIP CODE 110713. DTB</t>
  </si>
  <si>
    <t>TECHNOLOGY</t>
  </si>
  <si>
    <t>TECHNOLOGY BUILDING</t>
  </si>
  <si>
    <t>STUCCO ON MASONRY ( 100 % )</t>
  </si>
  <si>
    <t>FLAT ( 27 % ) , LOW (2:12 TO 6:12 PITCH) ( 75 % )</t>
  </si>
  <si>
    <t>1212 NORTH ELM STREET</t>
  </si>
  <si>
    <t>N 33-13-30.3</t>
  </si>
  <si>
    <t>W 097-07-59.9</t>
  </si>
  <si>
    <t>CANOPIES ; CAMERAS</t>
  </si>
  <si>
    <t>CENTRAL SVCS ANNEX</t>
  </si>
  <si>
    <t>CENTRAL SERVICES ANNEX</t>
  </si>
  <si>
    <t>FLAT ( 90 % ) , LOW (2:12 TO 6:12 PITCH) ( 10 % )</t>
  </si>
  <si>
    <t>1213 NORTH LOCUST</t>
  </si>
  <si>
    <t>W 097-07-56.4</t>
  </si>
  <si>
    <t>EXT SCHOOL DAY</t>
  </si>
  <si>
    <t>EXTENDED SCHOOL DAY BUILDING</t>
  </si>
  <si>
    <t>BRICK, ON FRAME ( 70 % ) , STONE ON FRAME ( 15 % ) , SIDING, WOOD ON FRAME ( 15 % )</t>
  </si>
  <si>
    <t>GAS, OIL, OR ELECTRIC SUSPENDED UNIT HEATERS ( 100 % )</t>
  </si>
  <si>
    <t>THRU-WALL UNITS (COOLING) ( 100 % )</t>
  </si>
  <si>
    <t>1215 NORTH ELM STREET</t>
  </si>
  <si>
    <t>N 33-13-30.9</t>
  </si>
  <si>
    <t>W 097-08-01.8</t>
  </si>
  <si>
    <t>STORAGE HOUSE</t>
  </si>
  <si>
    <t>N 33-15-31.2</t>
  </si>
  <si>
    <t>W 097-08-01.2</t>
  </si>
  <si>
    <t>WILSON ELEMENTARY</t>
  </si>
  <si>
    <t>1306 EAST WINDSOR</t>
  </si>
  <si>
    <t>N 33-14-33.3</t>
  </si>
  <si>
    <t>W 097-06-49.1</t>
  </si>
  <si>
    <t>BASKETBALL BACKBOARDS &amp; SUPPORTS - FIXED ; KITCHEN - EXHAUST HOOD W/FIRE PROTECTION ; CANOPIES ; WALK-IN COOLERS &amp; FREEZERS ; HANDICAP RAMP</t>
  </si>
  <si>
    <t>PORTABLE CLASSROOM 14</t>
  </si>
  <si>
    <t>N 33-14-27.4</t>
  </si>
  <si>
    <t>W 097-06-46.1</t>
  </si>
  <si>
    <t>PORTABLE CLASSROOM 15</t>
  </si>
  <si>
    <t>N 33-14-27.9</t>
  </si>
  <si>
    <t>PORTABLE CLASSROOM 76</t>
  </si>
  <si>
    <t>N 33-14-28.2</t>
  </si>
  <si>
    <t>W 097-06-46.0</t>
  </si>
  <si>
    <t>PORTABLE CLASSROOM 1</t>
  </si>
  <si>
    <t>N 33-14-28.5</t>
  </si>
  <si>
    <t>STORAGE BUILDING</t>
  </si>
  <si>
    <t>N 33-14-29.30</t>
  </si>
  <si>
    <t>W 097-06-49.2</t>
  </si>
  <si>
    <t>CENTRAL SERVICES BLDG</t>
  </si>
  <si>
    <t>ADMINISTRATION OFFICE BUILDING</t>
  </si>
  <si>
    <t>1307 NORTH LOCUST</t>
  </si>
  <si>
    <t>N 33-13-30.6</t>
  </si>
  <si>
    <t>W 097-08-00.4</t>
  </si>
  <si>
    <t>CANOPIES ; CANOPIES</t>
  </si>
  <si>
    <t>PORTABLE 8-ADMIN SERVICES</t>
  </si>
  <si>
    <t>C</t>
  </si>
  <si>
    <t>N 33-13-36.0</t>
  </si>
  <si>
    <t>W 096-57-50.7</t>
  </si>
  <si>
    <t>STEPHENS ELEMENTARY</t>
  </si>
  <si>
    <t>BRICK, ON MASONRY ( 80 % ) , CONCRETE BLOCK, SPLIT FACE ( 20 % )</t>
  </si>
  <si>
    <t>133 NORTH GARZA ROAD</t>
  </si>
  <si>
    <t>SHADY SHORES</t>
  </si>
  <si>
    <t>N 33-02-28.7</t>
  </si>
  <si>
    <t>W 097-02-28.8</t>
  </si>
  <si>
    <t>BASKETBALL BACKBOARDS &amp; SUPPORTS - FOLDING ; KITCHEN - EXHAUST HOOD W/FIRE PROTECTION ; CANOPIES ; WALK-IN COOLERS &amp; FREEZERS ; CAMERAS</t>
  </si>
  <si>
    <t>GAZEBO</t>
  </si>
  <si>
    <t>N 33-09-51.4</t>
  </si>
  <si>
    <t>W 097-02-31.2</t>
  </si>
  <si>
    <t>N 33-09-51.3</t>
  </si>
  <si>
    <t>W 097-02-31.3</t>
  </si>
  <si>
    <t>RAYZOR ELEMENTARY</t>
  </si>
  <si>
    <t>BRICK, ON MASONRY ( 70 % ) , STUCCO ON MASONRY ( 30 % )</t>
  </si>
  <si>
    <t>1400 MALONE STREET</t>
  </si>
  <si>
    <t>N 33-13-38.0</t>
  </si>
  <si>
    <t>W 097-08-58.2</t>
  </si>
  <si>
    <t>BASKETBALL BACKBOARDS &amp; SUPPORTS - FOLDING ; KITCHEN - EXHAUST HOOD W/FIRE PROTECTION ; CANOPIES ; CANOPIES ; WALK-IN COOLERS &amp; FREEZERS ; HANDICAP RAMP ; CAMERAS</t>
  </si>
  <si>
    <t>PORTABLE CLASSROOM 44</t>
  </si>
  <si>
    <t>N 33-13-41.1</t>
  </si>
  <si>
    <t>W 097-08-57.8</t>
  </si>
  <si>
    <t>PORTABLE CLASSROOM 46</t>
  </si>
  <si>
    <t>N 33-11-13.4</t>
  </si>
  <si>
    <t>W 097-08-57.5</t>
  </si>
  <si>
    <t>PORTABLE CLASSROOM 53</t>
  </si>
  <si>
    <t>N 33-13-41.8</t>
  </si>
  <si>
    <t>W 097-08-57.4</t>
  </si>
  <si>
    <t>N 33-13-39.8</t>
  </si>
  <si>
    <t>W 097-08-53.8</t>
  </si>
  <si>
    <t>COLLINS STADIUM &amp; NATATORIUM</t>
  </si>
  <si>
    <t>CONCESSIONS BUILDING 1</t>
  </si>
  <si>
    <t>1500 LONG ROAD</t>
  </si>
  <si>
    <t>N 33-15-44.9</t>
  </si>
  <si>
    <t>W 097-06-49.3</t>
  </si>
  <si>
    <t>CANOPIES , METAL WINDOWS , HANDICAP RAMP/////CORRECTED ZIP CODE 110713. DTB</t>
  </si>
  <si>
    <t>CONCESSIONS BUILDING 2</t>
  </si>
  <si>
    <t>N 33-15-41.0</t>
  </si>
  <si>
    <t>W 097-06-44.1</t>
  </si>
  <si>
    <t>CANOPIES , METAL WINDOWS/////CORRECTED ZIP CODE 110713. DTB</t>
  </si>
  <si>
    <t>CONCESSIONS BUILDING 3</t>
  </si>
  <si>
    <t>N 33-15-40.5</t>
  </si>
  <si>
    <t>W 097-06-48.6</t>
  </si>
  <si>
    <t>CONCESSIONS BUILDING 4</t>
  </si>
  <si>
    <t>N 33-15-44.3</t>
  </si>
  <si>
    <t>W 097-06-42.0</t>
  </si>
  <si>
    <t>N 33-15-46.2</t>
  </si>
  <si>
    <t>W 097-06-46.8</t>
  </si>
  <si>
    <t>CANOPIES , BALCONIES , BAY DOORS , RAMPS/////CORRECTED ZIP CODE 110713. DTB</t>
  </si>
  <si>
    <t>PRESS BOX / GRANDSTANDS</t>
  </si>
  <si>
    <t>4 - MASONRY NON-COMBUSTIBLE (20 %), 6 - FIRE RESISTIVE (80 %),</t>
  </si>
  <si>
    <t>CONCRETE TILT-UP PANELS ( 15 % ) , CONCRETE BLOCK ( 25 % ) , CURTAIN WALL, GLASS ( 5 % ) , CONCRETE BLOCK, SPLIT FACE ( 55 % )</t>
  </si>
  <si>
    <t>N 33-15-42.0</t>
  </si>
  <si>
    <t>W 097-06-47.9</t>
  </si>
  <si>
    <t>MECHANICAL PENTHOUSE , GRANDSTANDS/////CORRECTED ZIP CODE 110713. DTB</t>
  </si>
  <si>
    <t>TICKET BOOTH 1</t>
  </si>
  <si>
    <t>N 33-15-44.1</t>
  </si>
  <si>
    <t>W 097-06-48.9</t>
  </si>
  <si>
    <t>TICKET BOOTH 2</t>
  </si>
  <si>
    <t>TICKET BOOTH 3</t>
  </si>
  <si>
    <t>W 097-06-44.0</t>
  </si>
  <si>
    <t>TICKET BOOTH 4</t>
  </si>
  <si>
    <t>N 33-15-40.6</t>
  </si>
  <si>
    <t>W 097-06-44.6</t>
  </si>
  <si>
    <t>NATATORIUM</t>
  </si>
  <si>
    <t>BRICK, ON MASONRY ( 60 % ) , SIDING, METAL OR OTHER ON MASONRY ( 20 % ) , STUCCO ON MASONRY ( 20 % )</t>
  </si>
  <si>
    <t>BUILT-UP, SMOOTH ( 20 % ) , STEEL ( 80 % )</t>
  </si>
  <si>
    <t>FLAT ( 20 % ) , LOW (2:12 TO 6:12 PITCH) ( 80 % )</t>
  </si>
  <si>
    <t>W 097-06-29.6</t>
  </si>
  <si>
    <t>DIVING TOWERS - STAND TYPE , CAST-IN-PLACE CONCRETE OR GUNITE SPRAYED-ON CONCRETE POOL , WATER SLIDE , POOL HEATERS/////CORRECTED ZIP CODE 110713. DTB</t>
  </si>
  <si>
    <t>ATC</t>
  </si>
  <si>
    <t>TECHNOLOGY CLASSROOM BUILDING</t>
  </si>
  <si>
    <t>BRICK, ON MASONRY ( 90 % ) , SIDING, METAL OR OTHER ON MASONRY ( 10 % )</t>
  </si>
  <si>
    <t>1504 LONG ROAD</t>
  </si>
  <si>
    <t>N 33-15-38.9</t>
  </si>
  <si>
    <t>W 097-07-11.4</t>
  </si>
  <si>
    <t>WALK-IN COOLERS &amp; FREEZERS , CANOPIES , BAY DOORS/////CORRECTED ZIP CODE 110713. DTB</t>
  </si>
  <si>
    <t>PALOMA CREEK ELEMENTARY</t>
  </si>
  <si>
    <t>1600 NAVO ROAD</t>
  </si>
  <si>
    <t>N 33-13-43.3</t>
  </si>
  <si>
    <t>W 096-55-48.2</t>
  </si>
  <si>
    <t>BASKETBALL BACKBOARDS &amp; SUPPORTS - FOLDING ; KITCHEN - EXHAUST HOOD W/FIRE PROTECTION ; CANOPIES ; WALK-IN COOLERS &amp; FREEZERS ; HANDICAP RAMP ; CAMERAS</t>
  </si>
  <si>
    <t>NAVO MIDDLE SCHOOL &amp; TRANSPORTATION - NAVO</t>
  </si>
  <si>
    <t>NAVO MIDDLE SCHOOL</t>
  </si>
  <si>
    <t>BRICK, ON MASONRY ( 80 % ) , SIDING, METAL OR OTHER ON MASONRY ( 10 % ) , CONCRETE BLOCK, SPLIT FACE ( 10 % )</t>
  </si>
  <si>
    <t>BUILT-UP, SMOOTH ( 80 % ) , STEEL ( 20 % )</t>
  </si>
  <si>
    <t>1701 NAVO ROAD</t>
  </si>
  <si>
    <t>N 33-13-41.4</t>
  </si>
  <si>
    <t>W 096-55-45.1</t>
  </si>
  <si>
    <t>CANOPIES ; CANOPIES ; BLEACHERS &amp; GRANDSTANDS - TELESCOPING ; BASKETBALL BACKBOARDS &amp; SUPPORTS - FOLDING ; CAMERAS</t>
  </si>
  <si>
    <t>AUXILIARY TRANSPORTATION PORTABLE 85</t>
  </si>
  <si>
    <t>N 33-13-40.4</t>
  </si>
  <si>
    <t>W 097-55-41.2</t>
  </si>
  <si>
    <t>PORTABLE CLASSROOM 37</t>
  </si>
  <si>
    <t>N 33-08-48.0</t>
  </si>
  <si>
    <t>W 097-07-16.8</t>
  </si>
  <si>
    <t>CORRECTED ADDRESS 110713. DTB PORTABLE MOVED FROM MCNAIR TO NAVO FOR 2015-2016 SCHOOL YEAR.SHA 9-1-15</t>
  </si>
  <si>
    <t>PORTABLE CLASSTOOM 39</t>
  </si>
  <si>
    <t>N 33-08-47.7</t>
  </si>
  <si>
    <t>W 097-07-17.0</t>
  </si>
  <si>
    <t>CORRECTED ADDRESS 110713. DTB PORTABLE MOVED FROM MCNAIR TO NAVO FOR 2015-2016 SCHOOL YEAR. SHA 9-1-15</t>
  </si>
  <si>
    <t>PORTABLE CLASSROOM 40</t>
  </si>
  <si>
    <t>N 33-08-47.3</t>
  </si>
  <si>
    <t>PORTABLE CLASSROOM 96</t>
  </si>
  <si>
    <t>N 33-08-48.2</t>
  </si>
  <si>
    <t>MCMATH MIDDLE SCHOOL</t>
  </si>
  <si>
    <t>MAIN MIDDLE SCHOOL BUILDING</t>
  </si>
  <si>
    <t>1900 JASON DRIVE</t>
  </si>
  <si>
    <t>N 33-11-22.1</t>
  </si>
  <si>
    <t>W 097-07-36.2</t>
  </si>
  <si>
    <t>WALK-IN COOLERS &amp; FREEZERS ; CANOPIES ; CANOPIES ; KITCHEN - EXHAUST HOOD W/FIRE PROTECTION ; BLEACHERS &amp; GRANDSTANDS - TELESCOPING ; BASKETBALL SCOREBOARD, WALL TYPE ; BASKETBALL BACKBOARDS &amp; SUPPORT</t>
  </si>
  <si>
    <t>CROWNOVER MIDDLE SCHOOL</t>
  </si>
  <si>
    <t>BUILT-UP, TAR AND GRAVEL ( 70 % ) , STEEL ( 30 % )</t>
  </si>
  <si>
    <t>FLAT ( 70 % ) , LOW (2:12 TO 6:12 PITCH) ( 30 % )</t>
  </si>
  <si>
    <t>1901 CREEKSIDE</t>
  </si>
  <si>
    <t>CORINTH</t>
  </si>
  <si>
    <t>N 33-08-54.1</t>
  </si>
  <si>
    <t>W 097-04-55.7</t>
  </si>
  <si>
    <t>BASKETBALL BACKBOARDS &amp; SUPPORTS - FIXED ; BASKETBALL BACKBOARDS &amp; SUPPORTS - FOLDING ; BASKETBALL SCOREBOARD, WALL TYPE ; BLEACHERS &amp; GRANDSTANDS - TELESCOPING ; KITCHEN - EXHAUST HOOD W/FIRE PROTECT</t>
  </si>
  <si>
    <t>N 33-08-46.9</t>
  </si>
  <si>
    <t>W 097-04-54.9</t>
  </si>
  <si>
    <t>WS RYAN ELEMENTARY</t>
  </si>
  <si>
    <t>BUILT-UP, SMOOTH ( 100 % ) , STEEL ( 5 % )</t>
  </si>
  <si>
    <t>201 WEST RYAN ROAD</t>
  </si>
  <si>
    <t>N 33-09-45.0</t>
  </si>
  <si>
    <t>W 097-06-19.7</t>
  </si>
  <si>
    <t>BASKETBALL BACKBOARDS &amp; SUPPORTS - FOLDING ; KITCHEN - EXHAUST HOOD W/FIRE PROTECTION ; CANOPIES ; WALK-IN COOLERS &amp; FREEZERS</t>
  </si>
  <si>
    <t>STORAGE BUILDING 1</t>
  </si>
  <si>
    <t>N 33-09-36.9</t>
  </si>
  <si>
    <t>W 097-08-08.1</t>
  </si>
  <si>
    <t>STORAGE BUILDING 2</t>
  </si>
  <si>
    <t>N 33-09-37.0</t>
  </si>
  <si>
    <t>W 097-08-08.2</t>
  </si>
  <si>
    <t>STORAGE BUILDING 3</t>
  </si>
  <si>
    <t>W 097-08-08.3</t>
  </si>
  <si>
    <t>OPERATIONS ANNEX</t>
  </si>
  <si>
    <t>MAIN ANNEX/SERVICE BUILDING</t>
  </si>
  <si>
    <t>CONCRETE TILT-UP PANELS ( 100 % )</t>
  </si>
  <si>
    <t>GAS, OIL, OR ELECTRIC SUSPENDED UNIT HEATERS ( 50 % ) , ROOFTOP UNIT (HEATING) ( 50 % )</t>
  </si>
  <si>
    <t>ROOFTOP UNIT (COOLING) ( 50 % ) , NONE ( 50 % )</t>
  </si>
  <si>
    <t>230 NORTH MAYHILL ROAD</t>
  </si>
  <si>
    <t>N 33-12-50.6</t>
  </si>
  <si>
    <t>W 097-04-57.3</t>
  </si>
  <si>
    <t>WALK-IN COOLERS &amp; FREEZERS ; CANOPIES ; CANOPIES ; MEZZANINE ; BAY DOORS ; CAMERAS ; HANDICAP RAMPS</t>
  </si>
  <si>
    <t>PORTABLE CLASSROOM 02</t>
  </si>
  <si>
    <t>CT</t>
  </si>
  <si>
    <t>PORTABLE CLASSROOM 12</t>
  </si>
  <si>
    <t>PORTABLE CLASSROOM 45</t>
  </si>
  <si>
    <t>PORTABLE CLASSROOM 50</t>
  </si>
  <si>
    <t>HAWK ELEMENTARY</t>
  </si>
  <si>
    <t>BRICK, ON MASONRY ( 50 % ) , CONCRETE POUR IN PLACE ( 5 % ) , SIDING, METAL OR OTHER ON MASONRY ( 20 % ) , CONCRETE BLOCK, SPLIT FACE ( 25 % )</t>
  </si>
  <si>
    <t>BUILT-UP, SMOOTH ( 50 % ) , STEEL ( 50 % )</t>
  </si>
  <si>
    <t>FLAT ( 50 % ) , LOW (2:12 TO 6:12 PITCH) ( 50 % )</t>
  </si>
  <si>
    <t>2300 OAKMONT</t>
  </si>
  <si>
    <t>N 33-08-53.8</t>
  </si>
  <si>
    <t>W 097-05-05.2</t>
  </si>
  <si>
    <t>PORTABLE CLASSROOM 3</t>
  </si>
  <si>
    <t>W 097-05-02.7</t>
  </si>
  <si>
    <t>PORTABLE CLASSROOM 101</t>
  </si>
  <si>
    <t>N 33-08-54.0</t>
  </si>
  <si>
    <t>W 097-05-02.2</t>
  </si>
  <si>
    <t>PORTABLE CLASSROOM 78</t>
  </si>
  <si>
    <t>N 33-08-53.9</t>
  </si>
  <si>
    <t>W 097-05-01.6</t>
  </si>
  <si>
    <t>BORMAN ELEMENTARY</t>
  </si>
  <si>
    <t>1201 PARVIN</t>
  </si>
  <si>
    <t>N 33-11-25.4</t>
  </si>
  <si>
    <t>W 097-08-47.4</t>
  </si>
  <si>
    <t>BASKETBALL BACKBOARDS &amp; SUPPORTS - FOLDING , KITCHEN - EXHAUST HOOD W/FIRE PROTECTION , CANOPIES , CANOPIES , WALK-IN COOLERS &amp; FREEZERS/////CORRECTED ADDRESS 110713. DTB</t>
  </si>
  <si>
    <t>METAL STORAGE CONTAINER</t>
  </si>
  <si>
    <t>N 33-11-21.6</t>
  </si>
  <si>
    <t>W 097-08-46.8</t>
  </si>
  <si>
    <t>GINNINGS ELEMENTARY</t>
  </si>
  <si>
    <t>BUILT-UP, SMOOTH ( 70 % ) , SINGLE-PLY MEMBRANE ( 30 % )</t>
  </si>
  <si>
    <t>2525 YELLOWSTONE</t>
  </si>
  <si>
    <t>N 33-15-07.7</t>
  </si>
  <si>
    <t>W 097-07-15.7</t>
  </si>
  <si>
    <t>BASKETBALL BACKBOARDS &amp; SUPPORTS - FIXED ; KITCHEN - EXHAUST HOOD W/FIRE PROTECTION ; CANOPIES ; CANOPIES ; WALK-IN COOLERS &amp; FREEZERS ; HANDICAP RAMP</t>
  </si>
  <si>
    <t>PORTABLE CLASSROOM 38</t>
  </si>
  <si>
    <t>N 33-15-05.1</t>
  </si>
  <si>
    <t>W 097-07-17.5</t>
  </si>
  <si>
    <t>PORTABLE CLASSROOM 47</t>
  </si>
  <si>
    <t>N 31-15-05.4</t>
  </si>
  <si>
    <t>W 097-07-17.6</t>
  </si>
  <si>
    <t>PORTABLE CLASSROOM 88</t>
  </si>
  <si>
    <t>N 31-15-03.8</t>
  </si>
  <si>
    <t>W 097-07-17.1</t>
  </si>
  <si>
    <t>PORTABLE CLASSROOM 10</t>
  </si>
  <si>
    <t>N 33-15-04.9</t>
  </si>
  <si>
    <t>HOUSTON ELEMENTARY</t>
  </si>
  <si>
    <t>3100 TEASLEY LANE</t>
  </si>
  <si>
    <t>N 33-10-32.5</t>
  </si>
  <si>
    <t>W 097-06-58.5</t>
  </si>
  <si>
    <t>WALK-IN COOLERS &amp; FREEZERS ; CANOPIES ; KITCHEN - EXHAUST HOOD W/FIRE PROTECTION ; CAMERAS</t>
  </si>
  <si>
    <t>PORTABLE CLASSROOM 32</t>
  </si>
  <si>
    <t>N 33-10-29.9</t>
  </si>
  <si>
    <t>W 097-06-55.1</t>
  </si>
  <si>
    <t>HANDICAP RAMP/////CORRECTED ADDRESS 110713. DTB</t>
  </si>
  <si>
    <t>PORTABLE CLASSROOM 33</t>
  </si>
  <si>
    <t>N 33-10-29.4</t>
  </si>
  <si>
    <t>W 097-06-54.9</t>
  </si>
  <si>
    <t>HANDICAP RAMP/////ADDRESS CORRECTED 110713. DTB</t>
  </si>
  <si>
    <t>STRICKLAND MIDDLE SCHOOL</t>
  </si>
  <si>
    <t>BRICK, ON MASONRY ( 90 % ) , STONE ON MASONRY ( 10 % )</t>
  </si>
  <si>
    <t>FORCED WARM AIR ( 70 % ) , ROOFTOP UNIT (HEATING) ( 30 % )</t>
  </si>
  <si>
    <t>FORCED COOL AIR ( 70 % ) , ROOFTOP UNIT (COOLING) ( 30 % )</t>
  </si>
  <si>
    <t>324 WINDSOR</t>
  </si>
  <si>
    <t>N 33-14-38.8</t>
  </si>
  <si>
    <t>W 097-07-43.5</t>
  </si>
  <si>
    <t>BASKETBALL BACKBOARDS &amp; SUPPORTS - FOLDING ; BLEACHERS &amp; GRANDSTANDS - TELESCOPING ; KITCHEN - EXHAUST HOOD W/FIRE PROTECTION ; CANOPIES ; WALK-IN COOLERS &amp; FREEZERS ; HANDICAP RAMPS</t>
  </si>
  <si>
    <t>PORTABLE CLASSROOM 68</t>
  </si>
  <si>
    <t>N 33-14-36.3</t>
  </si>
  <si>
    <t>W 097-07-45.8</t>
  </si>
  <si>
    <t>PORTABLE CLASSROOM 70</t>
  </si>
  <si>
    <t>N 33-14-35.8</t>
  </si>
  <si>
    <t>W 097-07-45.4</t>
  </si>
  <si>
    <t>PORTABLE CLASSROOM 72</t>
  </si>
  <si>
    <t>N 33-14-35.4</t>
  </si>
  <si>
    <t>W 097-07-45.6</t>
  </si>
  <si>
    <t>N 33-14-34.1</t>
  </si>
  <si>
    <t>W 097-07-42.8</t>
  </si>
  <si>
    <t>EVERS ELEMENTARY</t>
  </si>
  <si>
    <t>BUILT-UP, SMOOTH ( 40 % ) , STEEL ( 60 % )</t>
  </si>
  <si>
    <t>3300 EVERS PARKWAY</t>
  </si>
  <si>
    <t>N 33-14-50.5</t>
  </si>
  <si>
    <t>W 097-08-05.2</t>
  </si>
  <si>
    <t>WALK-IN COOLERS &amp; FREEZERS ; CANOPIES ; CANOPIES ; KITCHEN - EXHAUST HOOD W/FIRE PROTECTION ; BASKETBALL BACKBOARDS &amp; SUPPORTS - FOLDING</t>
  </si>
  <si>
    <t>PORTABLE CLASSROOM 29</t>
  </si>
  <si>
    <t>N 33-14-49.0</t>
  </si>
  <si>
    <t>W 097-08-03.9</t>
  </si>
  <si>
    <t>PORTABLE CLASSROOM 30</t>
  </si>
  <si>
    <t>N 33-14-49.1</t>
  </si>
  <si>
    <t>W 097-08-03.8</t>
  </si>
  <si>
    <t>PORTABLE CLASSROOM 31</t>
  </si>
  <si>
    <t>N 33-14-48.8</t>
  </si>
  <si>
    <t>W 097-08-03.3</t>
  </si>
  <si>
    <t>PORTABLE CLASSROOM 87</t>
  </si>
  <si>
    <t>N 33-14-48.9</t>
  </si>
  <si>
    <t>W 097-08-02.8</t>
  </si>
  <si>
    <t>PORTABLE CLASSROOM 25</t>
  </si>
  <si>
    <t>W 097-08-03.7</t>
  </si>
  <si>
    <t>PORTABLE CLASSROOM 80</t>
  </si>
  <si>
    <t>W 097-08-02.7</t>
  </si>
  <si>
    <t>PORTABLE CLASSROOM 75</t>
  </si>
  <si>
    <t>N 33-14-48.3</t>
  </si>
  <si>
    <t>W 097-08-04.0</t>
  </si>
  <si>
    <t>PORTABLE CLASSROOM 9</t>
  </si>
  <si>
    <t>N 33-14-48.6</t>
  </si>
  <si>
    <t>EP RAYZOR ELEMENTARY</t>
  </si>
  <si>
    <t>BRICK, ON MASONRY ( 70 % ) , SIDING, METAL OR OTHER ON MASONRY ( 30 % )</t>
  </si>
  <si>
    <t>BUILT-UP, SMOOTH ( 95 % ) , STEEL ( 5 % )</t>
  </si>
  <si>
    <t>377 RAYZOR ROAD</t>
  </si>
  <si>
    <t>ARGYLE</t>
  </si>
  <si>
    <t>N 33-05-12.7</t>
  </si>
  <si>
    <t>W 097-07-44.0</t>
  </si>
  <si>
    <t>WALK-IN COOLERS &amp; FREEZERS ; CANOPIES ; KITCHEN - EXHAUST HOOD W/FIRE PROTECTION ; BASKETBALL BACKBOARDS &amp; SUPPORTS - FIXED</t>
  </si>
  <si>
    <t>N 33-05-15.1</t>
  </si>
  <si>
    <t>W 097-07-44.5</t>
  </si>
  <si>
    <t>N 33-05-15.2</t>
  </si>
  <si>
    <t>W 097-07-44.3</t>
  </si>
  <si>
    <t>W 097-07-44.2</t>
  </si>
  <si>
    <t>HODGE ELEMENTARY</t>
  </si>
  <si>
    <t>BUILT-UP, SMOOTH ( 60 % ) , STEEL ( 40 % )</t>
  </si>
  <si>
    <t>FLAT ( 60 % ) , LOW (2:12 TO 6:12 PITCH) ( 40 % )</t>
  </si>
  <si>
    <t>3900 GRANT PARKWAY</t>
  </si>
  <si>
    <t>N 33-15-03.7</t>
  </si>
  <si>
    <t>W 097-05-25.3</t>
  </si>
  <si>
    <t>BASKETBALL BACKBOARDS &amp; SUPPORTS - FOLDING ; KITCHEN - EXHAUST HOOD W/FIRE PROTECTION ; CANOPIES ; WALK-IN COOLERS &amp; FREEZERS ; HANDICAP RAMPS</t>
  </si>
  <si>
    <t>PORTABLE CLASSROOM 19</t>
  </si>
  <si>
    <t>N 33-15-01.9</t>
  </si>
  <si>
    <t>W 097-05-23.9</t>
  </si>
  <si>
    <t>PORTABLE CLASSROOM 20</t>
  </si>
  <si>
    <t>N 33-15-02.4</t>
  </si>
  <si>
    <t>PORTABLE CLASSROOM 21</t>
  </si>
  <si>
    <t>N 33-15-02.0</t>
  </si>
  <si>
    <t>W 097-05-23.4</t>
  </si>
  <si>
    <t>PORTABLE CLASSROOM 22</t>
  </si>
  <si>
    <t>W 097-05-23.3</t>
  </si>
  <si>
    <t>PORTABLE CLASSROOM 91</t>
  </si>
  <si>
    <t>N 33-15-01.5</t>
  </si>
  <si>
    <t>W 097-05-23.5</t>
  </si>
  <si>
    <t>W 097-05-20.7</t>
  </si>
  <si>
    <t>NELSON ELEMENTARY</t>
  </si>
  <si>
    <t>ASPHALT SHINGLES ( 10 % ) , BUILT-UP, SMOOTH ( 90 % )</t>
  </si>
  <si>
    <t>3909 TEASLEY LANE</t>
  </si>
  <si>
    <t>N 33-09-45.1</t>
  </si>
  <si>
    <t>W 097-06-19.8</t>
  </si>
  <si>
    <t>WALK-IN COOLERS &amp; FREEZERS ; CANOPIES ; KITCHEN - EXHAUST HOOD W/FIRE PROTECTION ; BASKETBALL BACKBOARDS &amp; SUPPORTS - FOLDING ; CAMERAS</t>
  </si>
  <si>
    <t>PECAN CREEK ELEMENTARY</t>
  </si>
  <si>
    <t>4400 LAKEVIEW BOULEVARD</t>
  </si>
  <si>
    <t>N 33-10-14.2</t>
  </si>
  <si>
    <t>W 097-04-00.4</t>
  </si>
  <si>
    <t>PORTABLE CLASSROOM 36</t>
  </si>
  <si>
    <t>N 33-10-16.3</t>
  </si>
  <si>
    <t>W 097-03-59.3</t>
  </si>
  <si>
    <t>PORTABLE CLASSROOM 17</t>
  </si>
  <si>
    <t>N 33-10-15.9</t>
  </si>
  <si>
    <t>W 097-03-59.0</t>
  </si>
  <si>
    <t>PORTABLE CLASSROOM 51</t>
  </si>
  <si>
    <t>N 33-10-16.5</t>
  </si>
  <si>
    <t>W 097-03-59.6</t>
  </si>
  <si>
    <t>N 33-10-14.3</t>
  </si>
  <si>
    <t>TRANSPORTATION</t>
  </si>
  <si>
    <t>TRANSPORTATION SHOP</t>
  </si>
  <si>
    <t>2 - JOISTED MASONRY (50 %), 3 - NON-COMBUSTIBLE (50 %),</t>
  </si>
  <si>
    <t>CONCRETE BLOCK ( 50 % ) , SIDING, METAL OR OTHER ON GIRTS ( 50 % )</t>
  </si>
  <si>
    <t>FORCED WARM AIR ( 30 % ) , GAS, OIL, OR ELECTRIC SUSPENDED UNIT HEATERS ( 70 % )</t>
  </si>
  <si>
    <t>FORCED COOL AIR ( 30 % ) , NONE ( 70 % )</t>
  </si>
  <si>
    <t>5093 EAST MCKINNEY</t>
  </si>
  <si>
    <t>N 33-12-47.4</t>
  </si>
  <si>
    <t>W 097-04-47.1</t>
  </si>
  <si>
    <t>CANOPIES ; BAY DOORS</t>
  </si>
  <si>
    <t>PORTABLE OFFICE BUILDING 49</t>
  </si>
  <si>
    <t>N 33-12-47.3</t>
  </si>
  <si>
    <t>W 097-04-45.8</t>
  </si>
  <si>
    <t>CANOPY, HANDICAP RAMP</t>
  </si>
  <si>
    <t>RYAN HIGH SCHOOL</t>
  </si>
  <si>
    <t>ASPHALT SHINGLES ( 20 % ) , BUILT-UP, SMOOTH ( 50 % ) , STEEL ( 30 % )</t>
  </si>
  <si>
    <t>5101 EAST MCKINNEY</t>
  </si>
  <si>
    <t>N 33-12-39.2</t>
  </si>
  <si>
    <t>W 097-04-33.9</t>
  </si>
  <si>
    <t>WALK-IN COOLERS &amp; FREEZERS ; CANOPIES ; KITCHEN - EXHAUST HOOD W/FIRE PROTECTION ; MEZZANINE ; BLEACHERS &amp; GRANDSTANDS - TELESCOPING ; BASKETBALL SCOREBOARD, WALL TYPE ; BASKETBALL BACKBOARDS &amp; SUPPOR</t>
  </si>
  <si>
    <t>BASEBALL STORAGE BUILDING</t>
  </si>
  <si>
    <t>N 33-12-48.4</t>
  </si>
  <si>
    <t>W 097-04-34.1</t>
  </si>
  <si>
    <t>BASEBALL GROUNDS BUILDING</t>
  </si>
  <si>
    <t>N 33-12-50.4</t>
  </si>
  <si>
    <t>W 097-04-33.7</t>
  </si>
  <si>
    <t>PORTABLE CLASSROOM 94</t>
  </si>
  <si>
    <t>N 33-12-35.3</t>
  </si>
  <si>
    <t>W 097-04-30.4</t>
  </si>
  <si>
    <t>PORTABLE CLASSROOM 84</t>
  </si>
  <si>
    <t>W 097-04-29.2</t>
  </si>
  <si>
    <t>PORTABLE CLASSROOM 52</t>
  </si>
  <si>
    <t>N 33-12-35.7</t>
  </si>
  <si>
    <t>W 097-04-29.4</t>
  </si>
  <si>
    <t>PORTABLE CLASSROOM 93</t>
  </si>
  <si>
    <t>N 33-12-35.1</t>
  </si>
  <si>
    <t>PORTABLE CLASSROOM 69</t>
  </si>
  <si>
    <t>N 33-12-35.6</t>
  </si>
  <si>
    <t>W 097-04-28.8</t>
  </si>
  <si>
    <t>PORTABLE CLASSROOM 71</t>
  </si>
  <si>
    <t>N 33-12-36.0</t>
  </si>
  <si>
    <t>PORTABLE CLASSROOM 97</t>
  </si>
  <si>
    <t>N 33-12-36.2</t>
  </si>
  <si>
    <t>W 097-04-29.7</t>
  </si>
  <si>
    <t>PORTABLE CLASSROOM 34</t>
  </si>
  <si>
    <t>W 097-04-30.1</t>
  </si>
  <si>
    <t>PORTABLE CLASSROOM 79</t>
  </si>
  <si>
    <t>N 33-12-34.9</t>
  </si>
  <si>
    <t>W 097-04-29.9</t>
  </si>
  <si>
    <t>PORTABLE CLASSROOM 23</t>
  </si>
  <si>
    <t>W 097-04-29.8</t>
  </si>
  <si>
    <t>FOOTBALL TICKET BOOTH</t>
  </si>
  <si>
    <t>N 33-12-43.1</t>
  </si>
  <si>
    <t>W 097-04-40.3</t>
  </si>
  <si>
    <t>OLD FIELD HOUSE</t>
  </si>
  <si>
    <t>N 33-12-42.8</t>
  </si>
  <si>
    <t>W 097-04-38.7</t>
  </si>
  <si>
    <t>SHOP FACILITY BUILDING</t>
  </si>
  <si>
    <t>N 33-12-36.5</t>
  </si>
  <si>
    <t>W 097-04-28.5</t>
  </si>
  <si>
    <t>SOFTBALL FIELD HOUSE</t>
  </si>
  <si>
    <t>N 33-12-34.0</t>
  </si>
  <si>
    <t>W 097-04-28.7</t>
  </si>
  <si>
    <t>FOOTBALL CONCESSIONS BUILDING</t>
  </si>
  <si>
    <t>N 33-12-47.9</t>
  </si>
  <si>
    <t>W 097-04-42.2</t>
  </si>
  <si>
    <t>CANOPIES ; METAL WINDOW</t>
  </si>
  <si>
    <t>FOOTBALL EQUIPMENT STORAGE</t>
  </si>
  <si>
    <t>N 33-12-50.1</t>
  </si>
  <si>
    <t>W 097-04-42.8</t>
  </si>
  <si>
    <t>NEW FIELD HOUSE</t>
  </si>
  <si>
    <t>BRICK, ON MASONRY ( 90 % ) , CURTAIN WALL, GLASS ( 10 % )</t>
  </si>
  <si>
    <t>W 097-04-39.7</t>
  </si>
  <si>
    <t>GUARD SHACK BUILDING 1</t>
  </si>
  <si>
    <t>N 33-12-40.9</t>
  </si>
  <si>
    <t>W 097-04-39.0</t>
  </si>
  <si>
    <t>GUARD SHACK BUILDING 2</t>
  </si>
  <si>
    <t>N 33-12-37.3</t>
  </si>
  <si>
    <t>W 097-04-38.0</t>
  </si>
  <si>
    <t>GREENHOUSE</t>
  </si>
  <si>
    <t>3 - NON-COMBUSTIBLE (65 %), 4 - MASONRY NON-COMBUSTIBLE (35 %),</t>
  </si>
  <si>
    <t>CONCRETE POUR IN PLACE ( 35 % ) , SIDING, METAL OR OTHER ON GIRTS ( 65 % )</t>
  </si>
  <si>
    <t>GAS, OIL, OR ELECTRIC SUSPENDED UNIT HEATERS ( 100 % ) , VENTILATION ONLY ( 100 % )</t>
  </si>
  <si>
    <t>EVAPORATIVE COOLERS ( 100 % )</t>
  </si>
  <si>
    <t>FIBERGLASS TRANSLUCENT ( 100 % )</t>
  </si>
  <si>
    <t>N 33-12-38.6</t>
  </si>
  <si>
    <t>SOFTBALL CONCESSIONS BUILDING</t>
  </si>
  <si>
    <t>N 33-12-33.2</t>
  </si>
  <si>
    <t>BAY DOOR; METAL WINDOWS</t>
  </si>
  <si>
    <t>N 33-12-32.8</t>
  </si>
  <si>
    <t>W 097-04-28.9</t>
  </si>
  <si>
    <t>N 33-12-32.5</t>
  </si>
  <si>
    <t>W 097-04-29.1</t>
  </si>
  <si>
    <t>N 33-12-31.9</t>
  </si>
  <si>
    <t>W 097-04-28.3</t>
  </si>
  <si>
    <t>FOOTBALL PRESS BOX</t>
  </si>
  <si>
    <t>N 33-12-46.9</t>
  </si>
  <si>
    <t>W 097-04-41.4</t>
  </si>
  <si>
    <t>N 33-12-49.7</t>
  </si>
  <si>
    <t>W 097-04-43.2</t>
  </si>
  <si>
    <t>BASEBALL BATTING BUILDING</t>
  </si>
  <si>
    <t>SIDING, METAL OR OTHER ON GIRTS ( 60 % ) , NONE ( 40 % )</t>
  </si>
  <si>
    <t>N 33-12-49.4</t>
  </si>
  <si>
    <t>W 097-04-34.0</t>
  </si>
  <si>
    <t>GREENHOUSE STORAGE BUILDING</t>
  </si>
  <si>
    <t>N 33-12-39.1</t>
  </si>
  <si>
    <t>W 097-04-28.6</t>
  </si>
  <si>
    <t>TENNIS STORAGE BUILDING</t>
  </si>
  <si>
    <t>N 33-12-42.4</t>
  </si>
  <si>
    <t>TENNIS RESTROOM BUILDING</t>
  </si>
  <si>
    <t>N 32-12-42.6</t>
  </si>
  <si>
    <t>BASEBALL HOME DUGOUT</t>
  </si>
  <si>
    <t>1 - FRAME (70 %), 2 - JOISTED MASONRY (30 %),</t>
  </si>
  <si>
    <t>CONCRETE BLOCK ( 30 % ) , SIDING, WOOD OR OTHER ON FRAME ( 70 % )</t>
  </si>
  <si>
    <t>N 32-12-46.6</t>
  </si>
  <si>
    <t>W 097-04-32.5</t>
  </si>
  <si>
    <t>BASEBALL VISITOR DUGOUT</t>
  </si>
  <si>
    <t>N 32-12-47.9</t>
  </si>
  <si>
    <t>N 32-12-46.7</t>
  </si>
  <si>
    <t>BASEBALL TICKET BOOTH</t>
  </si>
  <si>
    <t>N 33-12-45.6</t>
  </si>
  <si>
    <t>W 097-04-43.1</t>
  </si>
  <si>
    <t>BASEBALL STORAGE CONTAINER</t>
  </si>
  <si>
    <t>N 33-12-46.6</t>
  </si>
  <si>
    <t>BASEBALL CONCESSIONS BUILDING</t>
  </si>
  <si>
    <t>N 33-12-47.0</t>
  </si>
  <si>
    <t>W 097-04-34.3</t>
  </si>
  <si>
    <t>PORTABLE CLASSROOM 98</t>
  </si>
  <si>
    <t>PORTABLE BUILDING 77</t>
  </si>
  <si>
    <t>5101 EAST MCKINNEY STREET</t>
  </si>
  <si>
    <t>CROSS OAKS ELEMENTARY</t>
  </si>
  <si>
    <t>BRICK, ON MASONRY ( 60 % ) , STONE ON MASONRY ( 30 % ) , SIDING, WOOD ON MASONRY ( 10 % )</t>
  </si>
  <si>
    <t>SINGLE-PLY MEMBRANE ( 80 % ) , STEEL ( 20 % )</t>
  </si>
  <si>
    <t>600 LIBERTY BOULEVARD</t>
  </si>
  <si>
    <t>N 33-12-31.4</t>
  </si>
  <si>
    <t>W 096-58-57.8</t>
  </si>
  <si>
    <t>WALK-IN COOLERS &amp; FREEZERS , CANOPIES , BASKETBALL BACKBOARDS &amp; SUPPORTS - FOLDING/////CORRECTED CITY 110713. DTB</t>
  </si>
  <si>
    <t>CORRECTED CITY 110713. DTB</t>
  </si>
  <si>
    <t>RIVERA ELEMENTARY</t>
  </si>
  <si>
    <t>701 NEWTON</t>
  </si>
  <si>
    <t>N 33-09-40.3</t>
  </si>
  <si>
    <t>BASKETBALL BACKBOARDS &amp; SUPPORTS - FOLDING ; KITCHEN - EXHAUST HOOD W/FIRE PROTECTION ; CANOPIES ; WALK-IN COOLERS &amp; FREEZERS ; CAMERAS ; HANDICAP RAMP</t>
  </si>
  <si>
    <t>PORTABLE CLASSROOM 54</t>
  </si>
  <si>
    <t>N 33-12-25.5</t>
  </si>
  <si>
    <t>W 097-06-54.1</t>
  </si>
  <si>
    <t>PORTABLE CLASSROOM 55</t>
  </si>
  <si>
    <t>N 33-12-26.1</t>
  </si>
  <si>
    <t>W 097-06-53.8</t>
  </si>
  <si>
    <t>PORTABLE CLASSROOM 56</t>
  </si>
  <si>
    <t>W 097-06-53.9</t>
  </si>
  <si>
    <t>PORTABLE CLASSROOM 58</t>
  </si>
  <si>
    <t>N 33-12-26.0</t>
  </si>
  <si>
    <t>PORTABLE CLASSROOM 99</t>
  </si>
  <si>
    <t>N 33-12-26.2</t>
  </si>
  <si>
    <t>W 097-12-53.8</t>
  </si>
  <si>
    <t>PORTABLE CLASSROOM 100</t>
  </si>
  <si>
    <t>W 097-06-54.0</t>
  </si>
  <si>
    <t>CALHOUN MIDDLE SCHOOL</t>
  </si>
  <si>
    <t>BRICK, ON MASONRY ( 97 % ) , STONE, SOLID 12" THICK ( 3 % )</t>
  </si>
  <si>
    <t>709 CONGRESS</t>
  </si>
  <si>
    <t>N 33-13-10.1</t>
  </si>
  <si>
    <t>W 097-08-23.2</t>
  </si>
  <si>
    <t>GYMNASIUM/VOCATIONAL BUILDING</t>
  </si>
  <si>
    <t>BRICK, ON MASONRY ( 95 % ) , SIDING, METAL OR OTHER ON MASONRY ( 5 % )</t>
  </si>
  <si>
    <t>FORCED WARM AIR ( 50 % ) , ROOFTOP UNIT (HEATING) ( 50 % )</t>
  </si>
  <si>
    <t>FORCED COOL AIR ( 50 % ) , ROOFTOP UNIT (COOLING) ( 50 % )</t>
  </si>
  <si>
    <t>N 33-13-05.2</t>
  </si>
  <si>
    <t>W 097-08-23.8</t>
  </si>
  <si>
    <t>CANOPIES ; BLEACHERS &amp; GRANDSTANDS - PERMANENT ; BASKETBALL SCOREBOARD, WALL TYPE ; BASKETBALL BACKBOARDS &amp; SUPPORTS - FOLDING ; BASKETBALL BACKBOARDS &amp; SUPPORTS - FIXED ; HANDICAP RAMPS</t>
  </si>
  <si>
    <t>ANNEX CLASSROOM BUILDING</t>
  </si>
  <si>
    <t>BRICK, ON FRAME ( 70 % ) , STUCCO ON MASONRY ( 30 % )</t>
  </si>
  <si>
    <t>N 33-13-07.6</t>
  </si>
  <si>
    <t>W 097-08-20.8</t>
  </si>
  <si>
    <t>HANDICAP RAMPS</t>
  </si>
  <si>
    <t>CAFETERIA</t>
  </si>
  <si>
    <t>N 33-13-03.9</t>
  </si>
  <si>
    <t>W 097-08-24.0</t>
  </si>
  <si>
    <t>WALK-IN COOLERS &amp; FREEZERS ; KITCHEN - EXHAUST HOOD W/FIRE PROTECTION</t>
  </si>
  <si>
    <t>BAND/FINE ARTS/CLASSROOM BUILDING</t>
  </si>
  <si>
    <t>BRICK, ON MASONRY ( 70 % ) , CONCRETE BLOCK ( 30 % )</t>
  </si>
  <si>
    <t>BUILT-UP, SMOOTH ( 70 % ) , STEEL ( 30 % )</t>
  </si>
  <si>
    <t>N 33-13-00.3</t>
  </si>
  <si>
    <t>W 097-08-28.5</t>
  </si>
  <si>
    <t>BASKETBALL BACKBOARDS &amp; SUPPORTS - FOLDING ; BLEACHERS &amp; GRANDSTANDS - TELESCOPING ; CANOPIES ; HANDICAP RAMPS/DECK ENTRY</t>
  </si>
  <si>
    <t>PORTABLE CLASSROOM 90</t>
  </si>
  <si>
    <t>N 33-13-08.7</t>
  </si>
  <si>
    <t>W 097-08-21.4</t>
  </si>
  <si>
    <t>TICKET BOOTH</t>
  </si>
  <si>
    <t>N 33-13-12.9</t>
  </si>
  <si>
    <t>W 097-09-25.0</t>
  </si>
  <si>
    <t>N 33-13-10.5</t>
  </si>
  <si>
    <t>W 097-08-24.9</t>
  </si>
  <si>
    <t>N 33-13-10.4</t>
  </si>
  <si>
    <t>W 097-08-21.3</t>
  </si>
  <si>
    <t>GUYER HIGH SCHOOL</t>
  </si>
  <si>
    <t>BUILT-UP, SMOOTH ( 55 % ) , STEEL ( 45 % )</t>
  </si>
  <si>
    <t>FLAT ( 55 % ) , LOW (2:12 TO 6:12 PITCH) ( 45 % )</t>
  </si>
  <si>
    <t>7501 TEASLEY LANE</t>
  </si>
  <si>
    <t>N 33-08-08.6</t>
  </si>
  <si>
    <t>W 097-06-12.9</t>
  </si>
  <si>
    <t>AUDITORIUM SEATING - UNUPHOLSTERED ; BASKETBALL BACKBOARDS &amp; SUPPORTS - FOLDING ; BASKETBALL SCOREBOARD, WALL TYPE ; BLEACHERS &amp; GRANDSTANDS - TELESCOPING ; MEZZANINE ; KITCHEN - EXHAUST HOOD W/FIRE P</t>
  </si>
  <si>
    <t>SOFTBALL DUGOUT 4</t>
  </si>
  <si>
    <t>CONCRETE BLOCK, SPLIT FACE ( 70 % ) , CONCRETE, POURED-IN-PLACE ( 30 % )</t>
  </si>
  <si>
    <t>N 33-08-13.9</t>
  </si>
  <si>
    <t>W 097-06-01.6</t>
  </si>
  <si>
    <t>GUARD SHACK BUILDING</t>
  </si>
  <si>
    <t>N 33-08-17.0</t>
  </si>
  <si>
    <t>W 097-06-17.6</t>
  </si>
  <si>
    <t>N 33-08-02.4</t>
  </si>
  <si>
    <t>W 097-06-08.0</t>
  </si>
  <si>
    <t>AGRICULTURE BARN</t>
  </si>
  <si>
    <t>SIDING, METAL OR OTHER ON GIRTS ( 90 % ) , NONE ( 10 % )</t>
  </si>
  <si>
    <t>N 33-08-20.7</t>
  </si>
  <si>
    <t>W 097-06-09.6</t>
  </si>
  <si>
    <t>N 33-08-13.4</t>
  </si>
  <si>
    <t>W 097-06-06.0</t>
  </si>
  <si>
    <t>PORTABLE CLASSROOM 11</t>
  </si>
  <si>
    <t>N 33-08-11.7</t>
  </si>
  <si>
    <t>W 097-06-12.4</t>
  </si>
  <si>
    <t>PORTABLE CLASSROOM 18</t>
  </si>
  <si>
    <t>N 33-08-11.3</t>
  </si>
  <si>
    <t>W 097-06-12.2</t>
  </si>
  <si>
    <t>PORTABLE CLASSROOM 13</t>
  </si>
  <si>
    <t>N 33-08-11.4</t>
  </si>
  <si>
    <t>W 097-06-12.8</t>
  </si>
  <si>
    <t>PORTABLE CLASSROOM 4</t>
  </si>
  <si>
    <t>N 33-08-10.8</t>
  </si>
  <si>
    <t>PORTABLE CLASSROOM 28</t>
  </si>
  <si>
    <t>N 33-08-11.2</t>
  </si>
  <si>
    <t>W 097-06-13.2</t>
  </si>
  <si>
    <t>PORTABLE CLASSROOM 6</t>
  </si>
  <si>
    <t>N 33-08-11.1</t>
  </si>
  <si>
    <t>W 097-06-12.6</t>
  </si>
  <si>
    <t>PORTABLE CLASSROOM 7</t>
  </si>
  <si>
    <t>N 33-08-10.0</t>
  </si>
  <si>
    <t>W 097-06-11.3</t>
  </si>
  <si>
    <t>PORTABLE CLASSROOM 73</t>
  </si>
  <si>
    <t>N 33-08-10.1</t>
  </si>
  <si>
    <t>W 097-06-11.5</t>
  </si>
  <si>
    <t>PORTABLE CLASSROOM 74</t>
  </si>
  <si>
    <t>N 33-08-09.7</t>
  </si>
  <si>
    <t>W 097-06-12.0</t>
  </si>
  <si>
    <t>PORTABLE CLASSROOM 89</t>
  </si>
  <si>
    <t>N 33-08-09.5</t>
  </si>
  <si>
    <t>W 097-06-11.8</t>
  </si>
  <si>
    <t>FOOTBALL STORAGE BUILDING</t>
  </si>
  <si>
    <t>N 33-08-16.7</t>
  </si>
  <si>
    <t>W 097-06-03.7</t>
  </si>
  <si>
    <t>THRU-WALL ( 100 % )</t>
  </si>
  <si>
    <t>N 33-08-15.7</t>
  </si>
  <si>
    <t>W 097-06-08.6</t>
  </si>
  <si>
    <t>BLEACHERS, HANDICAP RAMP</t>
  </si>
  <si>
    <t>N 33-08-16.9</t>
  </si>
  <si>
    <t>N 33-08-15.8</t>
  </si>
  <si>
    <t>W 097-06-07.2</t>
  </si>
  <si>
    <t>BASEBALL STORAGE SHED</t>
  </si>
  <si>
    <t>N 33-08-18.1</t>
  </si>
  <si>
    <t>W 097-06-08.8</t>
  </si>
  <si>
    <t>BAY DOORS</t>
  </si>
  <si>
    <t>N 33-08-15.4</t>
  </si>
  <si>
    <t>W 097-06-05.3</t>
  </si>
  <si>
    <t>TRAINERS STORAGE SHED 1</t>
  </si>
  <si>
    <t>N 33-08-18.5</t>
  </si>
  <si>
    <t>W 097-06-03.4</t>
  </si>
  <si>
    <t>TRAINERS STORAGE SHED 2</t>
  </si>
  <si>
    <t>N 33-08-19.3</t>
  </si>
  <si>
    <t>W 097-06-03.6</t>
  </si>
  <si>
    <t>N 33-08-17.6</t>
  </si>
  <si>
    <t>W 097-06-03.1</t>
  </si>
  <si>
    <t>W 097-06-01.1</t>
  </si>
  <si>
    <t>N 33-08-14.0</t>
  </si>
  <si>
    <t>SOFTBALL STORAGE BUILDING</t>
  </si>
  <si>
    <t>N 33-08-12.4</t>
  </si>
  <si>
    <t>W 097-06-28.8</t>
  </si>
  <si>
    <t>SOFTBALL DUGOUT 3</t>
  </si>
  <si>
    <t>N 33-08-12.9</t>
  </si>
  <si>
    <t>W 097-06-02.9</t>
  </si>
  <si>
    <t>LEE ELEMENTARY</t>
  </si>
  <si>
    <t>BRICK, ON MASONRY ( 65 % ) , SIDING, METAL OR OTHER ON MASONRY ( 15 % ) , CONCRETE BLOCK, SPLIT FACE ( 20 % )</t>
  </si>
  <si>
    <t>BUILT-UP, SMOOTH ( 90 % ) , STEEL ( 10 % )</t>
  </si>
  <si>
    <t>800 MACK PLACE</t>
  </si>
  <si>
    <t>N 33-12-26.3</t>
  </si>
  <si>
    <t>WALK-IN COOLERS &amp; FREEZERS , CANOPIES , CANOPIES , KITCHEN - EXHAUST HOOD W/FIRE PROTECTION , BASKETBALL BACKBOARDS &amp; SUPPORTS - FOLDING , HANDICAP RAMP , CAMERAS/////CORRECTED ZIP CODE 110713. DTB</t>
  </si>
  <si>
    <t>FRED MOORE HIGH SCHOOL</t>
  </si>
  <si>
    <t>MAIN ALTERNATIVE BUILDING</t>
  </si>
  <si>
    <t>BRICK, ON MASONRY ( 60 % ) , STUCCO ON MASONRY ( 40 % )</t>
  </si>
  <si>
    <t>815 CROSSTIMBERS</t>
  </si>
  <si>
    <t>N 33-12-26.7</t>
  </si>
  <si>
    <t>W 097-07-37.5</t>
  </si>
  <si>
    <t>BASKETBALL BACKBOARDS &amp; SUPPORTS - FIXED ; BASKETBALL SCOREBOARD, WALL TYPE ; BLEACHERS &amp; GRANDSTANDS - TELESCOPING ; CANOPIES ; HANDICAP RAMP ; CAMERAS</t>
  </si>
  <si>
    <t>WINDLE SYC</t>
  </si>
  <si>
    <t>EARLY CHILDHOOD CENTER</t>
  </si>
  <si>
    <t>BRICK, ON MASONRY ( 40 % ) , CONCRETE BLOCK ( 10 % ) , STONE ON MASONRY ( 10 % ) , SIDING, METAL OR OTHER ON MASONRY ( 40 % )</t>
  </si>
  <si>
    <t>901 AUDRA LANE</t>
  </si>
  <si>
    <t>N 33-13-21.7</t>
  </si>
  <si>
    <t>W 097-06-30.1</t>
  </si>
  <si>
    <t>STORAGE SHED BUILDING</t>
  </si>
  <si>
    <t>N 33-13-21.8</t>
  </si>
  <si>
    <t>W 097-06-30.3</t>
  </si>
  <si>
    <t>COVERED PAVILION</t>
  </si>
  <si>
    <t>N 33-13-21.9</t>
  </si>
  <si>
    <t>W 097-06-30.2</t>
  </si>
  <si>
    <t>GALLIAN DAY CARE</t>
  </si>
  <si>
    <t>CHILD DEVELOPMENT BUILDING</t>
  </si>
  <si>
    <t>BRICK, ON MASONRY ( 50 % ) , CONCRETE BLOCK ( 50 % )</t>
  </si>
  <si>
    <t>903 AUDRA LANE</t>
  </si>
  <si>
    <t>N 33-13-23.7</t>
  </si>
  <si>
    <t>W 097-06-31.2</t>
  </si>
  <si>
    <t>N 33-13-24.4</t>
  </si>
  <si>
    <t>W 097-06-32.9</t>
  </si>
  <si>
    <t>DENTON HS-ATHLETIC WH</t>
  </si>
  <si>
    <t>WAREHOUSE BUILDING</t>
  </si>
  <si>
    <t>909 LINDEN</t>
  </si>
  <si>
    <t>N 33-13-20.6</t>
  </si>
  <si>
    <t>W 097-08-31.3</t>
  </si>
  <si>
    <t>BLANTON ELEMENTARY</t>
  </si>
  <si>
    <t>9501 STACEE LANE</t>
  </si>
  <si>
    <t>N 33-06-53.3</t>
  </si>
  <si>
    <t>W 097-07-24.4</t>
  </si>
  <si>
    <t>BASKETBALL BACKBOARDS &amp; SUPPORTS - FIXED ; KITCHEN - EXHAUST HOOD W/FIRE PROTECTION ; CANOPIES ; WALK-IN COOLERS &amp; FREEZERS ; CAMERAS</t>
  </si>
  <si>
    <t>HARPOOL MIDDLE SCHOOL</t>
  </si>
  <si>
    <t>9601 STACEE LANE</t>
  </si>
  <si>
    <t>N 33-06-57.2</t>
  </si>
  <si>
    <t>W 097-07-22.9</t>
  </si>
  <si>
    <t>WALK-IN COOLERS &amp; FREEZERS , CANOPIES , KITCHEN - EXHAUST HOOD W/FIRE PROTECTION , BLEACHERS &amp; GRANDSTANDS - TELESCOPING , BASKETBALL SCOREBOARD, WALL TYPE , BASKETBALL BACKBOARDS &amp; SUPPORTS - FOLDING/////CORRECTED CITY 110713. DTB</t>
  </si>
  <si>
    <t>ATHLETIC STORAGE BUILDING</t>
  </si>
  <si>
    <t>N 33-07-01.5</t>
  </si>
  <si>
    <t>W 097-07-29.8</t>
  </si>
  <si>
    <t>BAY DOOR/////CORRECTED CITY 110713. DTB</t>
  </si>
  <si>
    <t>WELLNESS CENTER</t>
  </si>
  <si>
    <t>WELLNESS CENTER BUILDING</t>
  </si>
  <si>
    <t>BRICK, ON FRAME ( 100 % )</t>
  </si>
  <si>
    <t>1215 N ELM STREET</t>
  </si>
  <si>
    <t>N 33-13-29.2</t>
  </si>
  <si>
    <t>W 097-08-01.4</t>
  </si>
  <si>
    <t>CANOPIES/////CORRECTED ADDRESS AND ZIP CODE 110713. DTB</t>
  </si>
  <si>
    <t>CORRECTED ADDRESS AND ZIP CODE 110713. DTB</t>
  </si>
  <si>
    <t>MYERS MIDDLE SCHOOL</t>
  </si>
  <si>
    <t>BETTYE MYERS MIDDLE SCHOOL</t>
  </si>
  <si>
    <t>131 GARZA LANE</t>
  </si>
  <si>
    <t>PER EMAIL FROM SHERRY ARRINGTON - NEW SCHOOL COMPLETED JULY 18, 2013. DTB 100413/////ADDING CONTENTS IN THE AMT OF $3,150,640. DTB</t>
  </si>
  <si>
    <t>ADKINS ELEMENTARY</t>
  </si>
  <si>
    <t>1701 MONAHAN DRIVE</t>
  </si>
  <si>
    <t>LANTANA</t>
  </si>
  <si>
    <t>BELL ELEMENTARY</t>
  </si>
  <si>
    <t>601 VILLA PALOMA</t>
  </si>
  <si>
    <t>LITTLE ELM</t>
  </si>
  <si>
    <t>PROJECTED CONSTRUCTION COMPLETED JUNE 2016 PER PC. (AJ 042116)</t>
  </si>
  <si>
    <t>BRASWELL HIGH SCHOOL</t>
  </si>
  <si>
    <t>26750 EAST UNIVERSITY DRIVE</t>
  </si>
  <si>
    <t>PROJECTED CONSTRUCTION COMPLETION AUGUST 2016 PER PC (AJ 042116)</t>
  </si>
  <si>
    <t>Entry Alarm</t>
  </si>
  <si>
    <t>Manual Fire Alarm</t>
  </si>
  <si>
    <t>Auto Fire Alarm</t>
  </si>
  <si>
    <t>Auto Sprinkler</t>
  </si>
  <si>
    <t>Square Footage</t>
  </si>
  <si>
    <t>Building RCV</t>
  </si>
  <si>
    <t>Contents RCV</t>
  </si>
  <si>
    <t>Land Improvements</t>
  </si>
  <si>
    <t>Bldg RCV/SF</t>
  </si>
  <si>
    <t>Contents RCV/SF</t>
  </si>
  <si>
    <t>ISO Class</t>
  </si>
  <si>
    <t xml:space="preserve">   Building</t>
  </si>
  <si>
    <t xml:space="preserve">   Contents</t>
  </si>
  <si>
    <t xml:space="preserve">   Land Improvements</t>
  </si>
  <si>
    <t>$200,000 Limit $20,000 Ded Premium</t>
  </si>
  <si>
    <t>$500,000 Limit $50,000 Ded Premium</t>
  </si>
  <si>
    <t>District Funds</t>
  </si>
  <si>
    <t>Yes</t>
  </si>
  <si>
    <t>No</t>
  </si>
  <si>
    <t>Property Deductible</t>
  </si>
  <si>
    <t>100 yr not covered</t>
  </si>
  <si>
    <t>Not rated</t>
  </si>
  <si>
    <t>Primary</t>
  </si>
  <si>
    <t>Bldg ID</t>
  </si>
  <si>
    <t>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</si>
</sst>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0.000_);\(#,##0.000\)"/>
    <numFmt numFmtId="165" formatCode="_(&quot;$&quot;* #,##0_);_(&quot;$&quot;* \(#,##0\);_(&quot;$&quot;* &quot;-&quot;??_);_(@_)"/>
    <numFmt numFmtId="166" formatCode="_(* #,##0_);_(* \(#,##0\);_(* &quot;-&quot;??_);_(@_)"/>
    <numFmt numFmtId="167" formatCode="&quot;$&quot;#,##0"/>
    <numFmt numFmtId="168" formatCode="0_);\(0\)"/>
    <numFmt numFmtId="169" formatCode="m/d/yy"/>
    <numFmt numFmtId="170" formatCode="_ &quot;R&quot;\ * #,##0.00_ ;_ &quot;R&quot;\ * \-#,##0.00_ ;_ &quot;R&quot;\ * &quot;-&quot;??_ ;_ @_ "/>
    <numFmt numFmtId="171" formatCode="_(* #,##0.0000_);_(* \(#,##0.0000\);_(* &quot;-&quot;??_);_(@_)"/>
    <numFmt numFmtId="172" formatCode="0.000"/>
  </numFmts>
  <fonts count="50" x14ac:knownFonts="1">
    <font>
      <sz val="12"/>
      <name val="Arial"/>
    </font>
    <font>
      <sz val="11"/>
      <color theme="1"/>
      <name val="Calibri"/>
      <family val="2"/>
      <scheme val="minor"/>
    </font>
    <font>
      <sz val="10"/>
      <name val="Arial"/>
      <family val="2"/>
    </font>
    <font>
      <sz val="12"/>
      <name val="Arial"/>
      <family val="2"/>
    </font>
    <font>
      <b/>
      <sz val="12"/>
      <name val="Arial"/>
      <family val="2"/>
    </font>
    <font>
      <sz val="12"/>
      <color indexed="8"/>
      <name val="Arial"/>
      <family val="2"/>
    </font>
    <font>
      <b/>
      <sz val="12"/>
      <color indexed="8"/>
      <name val="Arial"/>
      <family val="2"/>
    </font>
    <font>
      <sz val="10"/>
      <name val="Arial"/>
      <family val="2"/>
    </font>
    <font>
      <sz val="11"/>
      <name val="Arial"/>
      <family val="2"/>
    </font>
    <font>
      <b/>
      <sz val="11"/>
      <name val="Arial"/>
      <family val="2"/>
    </font>
    <font>
      <u/>
      <sz val="12"/>
      <name val="Arial"/>
      <family val="2"/>
    </font>
    <font>
      <sz val="8"/>
      <name val="Helv"/>
    </font>
    <font>
      <sz val="10"/>
      <name val="Helv"/>
    </font>
    <font>
      <sz val="11"/>
      <color indexed="8"/>
      <name val="Arial"/>
      <family val="2"/>
    </font>
    <font>
      <sz val="8"/>
      <name val="Arial"/>
      <family val="2"/>
    </font>
    <font>
      <sz val="12"/>
      <name val="Garamond"/>
      <family val="1"/>
    </font>
    <font>
      <b/>
      <sz val="12"/>
      <color indexed="17"/>
      <name val="Arial"/>
      <family val="2"/>
    </font>
    <font>
      <b/>
      <u/>
      <sz val="12"/>
      <color indexed="17"/>
      <name val="Arial"/>
      <family val="2"/>
    </font>
    <font>
      <b/>
      <i/>
      <sz val="12"/>
      <name val="Arial"/>
      <family val="2"/>
    </font>
    <font>
      <b/>
      <sz val="12"/>
      <name val="Times New Roman"/>
      <family val="1"/>
    </font>
    <font>
      <sz val="12"/>
      <name val="Times New Roman"/>
      <family val="1"/>
    </font>
    <font>
      <sz val="12"/>
      <color indexed="8"/>
      <name val="Times New Roman"/>
      <family val="1"/>
    </font>
    <font>
      <b/>
      <sz val="12"/>
      <color indexed="8"/>
      <name val="Times New Roman"/>
      <family val="1"/>
    </font>
    <font>
      <b/>
      <u val="double"/>
      <sz val="12"/>
      <color indexed="8"/>
      <name val="Times New Roman"/>
      <family val="1"/>
    </font>
    <font>
      <u/>
      <sz val="10"/>
      <color indexed="12"/>
      <name val="Arial"/>
      <family val="2"/>
    </font>
    <font>
      <sz val="11"/>
      <name val="Verdana"/>
      <family val="2"/>
    </font>
    <font>
      <sz val="10"/>
      <name val="Courier"/>
      <family val="3"/>
    </font>
    <font>
      <sz val="11"/>
      <name val="Times New Roman"/>
      <family val="1"/>
    </font>
    <font>
      <b/>
      <u/>
      <sz val="12"/>
      <name val="Times New Roman"/>
      <family val="1"/>
    </font>
    <font>
      <sz val="12"/>
      <color indexed="8"/>
      <name val="Times New Roman"/>
      <family val="2"/>
    </font>
    <font>
      <sz val="10"/>
      <name val="Arial Unicode MS"/>
      <family val="2"/>
    </font>
    <font>
      <sz val="10"/>
      <name val="Comic Sans MS"/>
      <family val="4"/>
    </font>
    <font>
      <b/>
      <sz val="12"/>
      <color indexed="12"/>
      <name val="Arial"/>
      <family val="2"/>
    </font>
    <font>
      <sz val="12"/>
      <name val="Helv"/>
    </font>
    <font>
      <b/>
      <sz val="14"/>
      <name val="Helv"/>
    </font>
    <font>
      <sz val="24"/>
      <color indexed="13"/>
      <name val="Helv"/>
    </font>
    <font>
      <sz val="11"/>
      <color theme="1"/>
      <name val="Calibri"/>
      <family val="2"/>
      <scheme val="minor"/>
    </font>
    <font>
      <sz val="11"/>
      <color theme="1"/>
      <name val="Arial"/>
      <family val="2"/>
    </font>
    <font>
      <sz val="12"/>
      <color theme="1"/>
      <name val="Times New Roman"/>
      <family val="2"/>
    </font>
    <font>
      <sz val="12"/>
      <color theme="1"/>
      <name val="Times New Roman"/>
      <family val="1"/>
    </font>
    <font>
      <b/>
      <sz val="12"/>
      <color rgb="FF006C31"/>
      <name val="Times New Roman"/>
      <family val="1"/>
    </font>
    <font>
      <b/>
      <sz val="12"/>
      <color rgb="FF0000CC"/>
      <name val="Times New Roman"/>
      <family val="1"/>
    </font>
    <font>
      <b/>
      <sz val="12"/>
      <color theme="1" tint="0.34998626667073579"/>
      <name val="Times New Roman"/>
      <family val="1"/>
    </font>
    <font>
      <b/>
      <sz val="12"/>
      <color rgb="FF0000CC"/>
      <name val="Arial"/>
      <family val="2"/>
    </font>
    <font>
      <sz val="12"/>
      <color rgb="FF0000CC"/>
      <name val="Times New Roman"/>
      <family val="1"/>
    </font>
    <font>
      <sz val="10"/>
      <color rgb="FF0000CC"/>
      <name val="Arial"/>
      <family val="2"/>
    </font>
    <font>
      <sz val="12"/>
      <color rgb="FF006C31"/>
      <name val="Times New Roman"/>
      <family val="1"/>
    </font>
    <font>
      <sz val="10"/>
      <color rgb="FF006C31"/>
      <name val="Arial"/>
      <family val="2"/>
    </font>
    <font>
      <b/>
      <sz val="11"/>
      <color theme="1"/>
      <name val="Calibri"/>
      <family val="2"/>
      <scheme val="minor"/>
    </font>
    <font>
      <b/>
      <sz val="14"/>
      <name val="Arial"/>
      <family val="2"/>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52">
    <border>
      <left/>
      <right/>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double">
        <color indexed="64"/>
      </right>
      <top/>
      <bottom style="thin">
        <color indexed="55"/>
      </bottom>
      <diagonal/>
    </border>
    <border>
      <left style="thin">
        <color indexed="64"/>
      </left>
      <right style="thin">
        <color indexed="64"/>
      </right>
      <top/>
      <bottom style="thin">
        <color indexed="55"/>
      </bottom>
      <diagonal/>
    </border>
    <border>
      <left style="double">
        <color indexed="64"/>
      </left>
      <right style="double">
        <color indexed="64"/>
      </right>
      <top/>
      <bottom style="thin">
        <color indexed="22"/>
      </bottom>
      <diagonal/>
    </border>
    <border>
      <left style="double">
        <color indexed="64"/>
      </left>
      <right style="double">
        <color indexed="64"/>
      </right>
      <top style="thin">
        <color indexed="22"/>
      </top>
      <bottom style="thin">
        <color indexed="22"/>
      </bottom>
      <diagonal/>
    </border>
    <border>
      <left/>
      <right/>
      <top style="thin">
        <color indexed="64"/>
      </top>
      <bottom style="double">
        <color indexed="64"/>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double">
        <color indexed="64"/>
      </left>
      <right style="double">
        <color indexed="64"/>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22"/>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8"/>
      </right>
      <top style="thin">
        <color indexed="8"/>
      </top>
      <bottom style="thin">
        <color indexed="22"/>
      </bottom>
      <diagonal/>
    </border>
    <border>
      <left/>
      <right style="thin">
        <color indexed="8"/>
      </right>
      <top style="thin">
        <color indexed="64"/>
      </top>
      <bottom style="thin">
        <color indexed="64"/>
      </bottom>
      <diagonal/>
    </border>
    <border>
      <left style="thin">
        <color indexed="8"/>
      </left>
      <right style="double">
        <color indexed="8"/>
      </right>
      <top style="thin">
        <color indexed="64"/>
      </top>
      <bottom style="thin">
        <color indexed="64"/>
      </bottom>
      <diagonal/>
    </border>
    <border>
      <left/>
      <right style="thin">
        <color indexed="8"/>
      </right>
      <top style="thin">
        <color indexed="64"/>
      </top>
      <bottom style="thin">
        <color indexed="22"/>
      </bottom>
      <diagonal/>
    </border>
    <border>
      <left style="thin">
        <color indexed="8"/>
      </left>
      <right style="double">
        <color indexed="8"/>
      </right>
      <top style="thin">
        <color indexed="64"/>
      </top>
      <bottom style="thin">
        <color indexed="22"/>
      </bottom>
      <diagonal/>
    </border>
    <border>
      <left/>
      <right style="thin">
        <color indexed="64"/>
      </right>
      <top style="thin">
        <color indexed="64"/>
      </top>
      <bottom style="thin">
        <color indexed="22"/>
      </bottom>
      <diagonal/>
    </border>
    <border>
      <left/>
      <right style="thin">
        <color indexed="8"/>
      </right>
      <top style="thin">
        <color indexed="22"/>
      </top>
      <bottom style="thin">
        <color indexed="22"/>
      </bottom>
      <diagonal/>
    </border>
    <border>
      <left style="thin">
        <color indexed="8"/>
      </left>
      <right style="double">
        <color indexed="8"/>
      </right>
      <top style="thin">
        <color indexed="22"/>
      </top>
      <bottom style="thin">
        <color indexed="22"/>
      </bottom>
      <diagonal/>
    </border>
    <border>
      <left style="thin">
        <color indexed="64"/>
      </left>
      <right/>
      <top style="thin">
        <color indexed="22"/>
      </top>
      <bottom style="thin">
        <color indexed="64"/>
      </bottom>
      <diagonal/>
    </border>
    <border>
      <left/>
      <right style="thin">
        <color indexed="8"/>
      </right>
      <top style="thin">
        <color indexed="22"/>
      </top>
      <bottom style="thin">
        <color indexed="64"/>
      </bottom>
      <diagonal/>
    </border>
    <border>
      <left style="thin">
        <color indexed="8"/>
      </left>
      <right style="double">
        <color indexed="8"/>
      </right>
      <top style="thin">
        <color indexed="22"/>
      </top>
      <bottom style="thin">
        <color indexed="64"/>
      </bottom>
      <diagonal/>
    </border>
    <border>
      <left/>
      <right style="thin">
        <color indexed="64"/>
      </right>
      <top style="thin">
        <color indexed="22"/>
      </top>
      <bottom style="thin">
        <color indexed="64"/>
      </bottom>
      <diagonal/>
    </border>
    <border>
      <left style="thin">
        <color indexed="8"/>
      </left>
      <right/>
      <top style="thin">
        <color indexed="8"/>
      </top>
      <bottom style="thin">
        <color indexed="22"/>
      </bottom>
      <diagonal/>
    </border>
    <border>
      <left style="thin">
        <color indexed="8"/>
      </left>
      <right style="double">
        <color indexed="8"/>
      </right>
      <top style="thin">
        <color indexed="8"/>
      </top>
      <bottom style="thin">
        <color indexed="22"/>
      </bottom>
      <diagonal/>
    </border>
    <border>
      <left style="thin">
        <color indexed="8"/>
      </left>
      <right/>
      <top style="thin">
        <color indexed="22"/>
      </top>
      <bottom style="thin">
        <color indexed="22"/>
      </bottom>
      <diagonal/>
    </border>
    <border>
      <left style="thin">
        <color indexed="8"/>
      </left>
      <right/>
      <top style="thin">
        <color indexed="22"/>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double">
        <color indexed="8"/>
      </right>
      <top/>
      <bottom style="thin">
        <color indexed="64"/>
      </bottom>
      <diagonal/>
    </border>
    <border>
      <left style="thin">
        <color indexed="8"/>
      </left>
      <right/>
      <top style="thin">
        <color indexed="22"/>
      </top>
      <bottom/>
      <diagonal/>
    </border>
    <border>
      <left/>
      <right style="thin">
        <color indexed="8"/>
      </right>
      <top style="thin">
        <color indexed="22"/>
      </top>
      <bottom/>
      <diagonal/>
    </border>
    <border>
      <left style="thin">
        <color indexed="8"/>
      </left>
      <right style="double">
        <color indexed="8"/>
      </right>
      <top style="thin">
        <color indexed="22"/>
      </top>
      <bottom/>
      <diagonal/>
    </border>
    <border>
      <left style="thin">
        <color indexed="8"/>
      </left>
      <right/>
      <top/>
      <bottom/>
      <diagonal/>
    </border>
    <border>
      <left/>
      <right style="thin">
        <color indexed="8"/>
      </right>
      <top/>
      <bottom/>
      <diagonal/>
    </border>
    <border>
      <left style="thin">
        <color indexed="8"/>
      </left>
      <right style="double">
        <color indexed="8"/>
      </right>
      <top/>
      <bottom/>
      <diagonal/>
    </border>
    <border>
      <left style="thin">
        <color indexed="8"/>
      </left>
      <right style="double">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top style="thin">
        <color indexed="22"/>
      </top>
      <bottom style="thin">
        <color indexed="8"/>
      </bottom>
      <diagonal/>
    </border>
    <border>
      <left/>
      <right style="thin">
        <color indexed="8"/>
      </right>
      <top style="thin">
        <color indexed="22"/>
      </top>
      <bottom style="thin">
        <color indexed="8"/>
      </bottom>
      <diagonal/>
    </border>
    <border>
      <left style="thin">
        <color indexed="8"/>
      </left>
      <right style="double">
        <color indexed="8"/>
      </right>
      <top style="thin">
        <color indexed="22"/>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64"/>
      </right>
      <top style="thin">
        <color indexed="8"/>
      </top>
      <bottom style="thin">
        <color indexed="22"/>
      </bottom>
      <diagonal/>
    </border>
    <border>
      <left/>
      <right/>
      <top style="thin">
        <color indexed="22"/>
      </top>
      <bottom style="thin">
        <color indexed="22"/>
      </bottom>
      <diagonal/>
    </border>
    <border>
      <left/>
      <right/>
      <top style="thin">
        <color indexed="22"/>
      </top>
      <bottom style="thin">
        <color indexed="8"/>
      </bottom>
      <diagonal/>
    </border>
    <border>
      <left/>
      <right style="thin">
        <color indexed="64"/>
      </right>
      <top style="thin">
        <color indexed="22"/>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22"/>
      </bottom>
      <diagonal/>
    </border>
    <border>
      <left style="thin">
        <color indexed="8"/>
      </left>
      <right style="thin">
        <color indexed="8"/>
      </right>
      <top style="thin">
        <color indexed="8"/>
      </top>
      <bottom style="thin">
        <color indexed="22"/>
      </bottom>
      <diagonal/>
    </border>
    <border>
      <left style="double">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22"/>
      </bottom>
      <diagonal/>
    </border>
    <border>
      <left style="double">
        <color indexed="8"/>
      </left>
      <right style="thin">
        <color indexed="8"/>
      </right>
      <top style="thin">
        <color indexed="22"/>
      </top>
      <bottom style="thin">
        <color indexed="8"/>
      </bottom>
      <diagonal/>
    </border>
    <border>
      <left style="thin">
        <color indexed="8"/>
      </left>
      <right style="thin">
        <color indexed="8"/>
      </right>
      <top style="thin">
        <color indexed="22"/>
      </top>
      <bottom style="thin">
        <color indexed="8"/>
      </bottom>
      <diagonal/>
    </border>
    <border>
      <left style="thin">
        <color indexed="8"/>
      </left>
      <right/>
      <top/>
      <bottom style="thin">
        <color indexed="22"/>
      </bottom>
      <diagonal/>
    </border>
    <border>
      <left/>
      <right style="thin">
        <color indexed="8"/>
      </right>
      <top/>
      <bottom style="thin">
        <color indexed="22"/>
      </bottom>
      <diagonal/>
    </border>
    <border>
      <left style="thin">
        <color indexed="8"/>
      </left>
      <right style="double">
        <color indexed="8"/>
      </right>
      <top/>
      <bottom style="thin">
        <color indexed="22"/>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double">
        <color indexed="8"/>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thin">
        <color indexed="64"/>
      </left>
      <right/>
      <top style="thin">
        <color indexed="64"/>
      </top>
      <bottom style="thin">
        <color indexed="22"/>
      </bottom>
      <diagonal/>
    </border>
    <border>
      <left style="thin">
        <color indexed="8"/>
      </left>
      <right style="thin">
        <color indexed="64"/>
      </right>
      <top style="thin">
        <color indexed="64"/>
      </top>
      <bottom style="thin">
        <color indexed="22"/>
      </bottom>
      <diagonal/>
    </border>
    <border>
      <left style="thin">
        <color indexed="8"/>
      </left>
      <right style="thin">
        <color indexed="64"/>
      </right>
      <top style="thin">
        <color indexed="22"/>
      </top>
      <bottom style="thin">
        <color indexed="22"/>
      </bottom>
      <diagonal/>
    </border>
    <border>
      <left style="thin">
        <color indexed="8"/>
      </left>
      <right style="thin">
        <color indexed="64"/>
      </right>
      <top style="thin">
        <color indexed="22"/>
      </top>
      <bottom style="thin">
        <color indexed="64"/>
      </bottom>
      <diagonal/>
    </border>
    <border>
      <left style="thin">
        <color indexed="64"/>
      </left>
      <right/>
      <top style="thin">
        <color indexed="8"/>
      </top>
      <bottom style="thin">
        <color indexed="22"/>
      </bottom>
      <diagonal/>
    </border>
    <border>
      <left style="thin">
        <color indexed="8"/>
      </left>
      <right style="thin">
        <color indexed="64"/>
      </right>
      <top style="thin">
        <color indexed="8"/>
      </top>
      <bottom style="thin">
        <color indexed="22"/>
      </bottom>
      <diagonal/>
    </border>
    <border>
      <left style="thin">
        <color indexed="64"/>
      </left>
      <right/>
      <top style="thin">
        <color indexed="22"/>
      </top>
      <bottom style="thin">
        <color indexed="8"/>
      </bottom>
      <diagonal/>
    </border>
    <border>
      <left style="thin">
        <color indexed="8"/>
      </left>
      <right style="thin">
        <color indexed="64"/>
      </right>
      <top style="thin">
        <color indexed="22"/>
      </top>
      <bottom style="thin">
        <color indexed="8"/>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8"/>
      </left>
      <right style="thin">
        <color indexed="8"/>
      </right>
      <top/>
      <bottom style="thin">
        <color indexed="22"/>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top/>
      <bottom style="thin">
        <color indexed="8"/>
      </bottom>
      <diagonal/>
    </border>
    <border>
      <left style="double">
        <color indexed="8"/>
      </left>
      <right style="thin">
        <color indexed="8"/>
      </right>
      <top/>
      <bottom/>
      <diagonal/>
    </border>
    <border>
      <left style="thin">
        <color indexed="8"/>
      </left>
      <right style="thin">
        <color indexed="8"/>
      </right>
      <top/>
      <bottom/>
      <diagonal/>
    </border>
    <border>
      <left/>
      <right/>
      <top style="thin">
        <color indexed="22"/>
      </top>
      <bottom/>
      <diagonal/>
    </border>
    <border>
      <left style="thin">
        <color indexed="8"/>
      </left>
      <right style="thin">
        <color indexed="8"/>
      </right>
      <top style="thin">
        <color indexed="22"/>
      </top>
      <bottom/>
      <diagonal/>
    </border>
    <border>
      <left/>
      <right/>
      <top/>
      <bottom style="thin">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64"/>
      </top>
      <bottom style="thin">
        <color indexed="22"/>
      </bottom>
      <diagonal/>
    </border>
    <border>
      <left style="thin">
        <color indexed="8"/>
      </left>
      <right style="thin">
        <color indexed="8"/>
      </right>
      <top style="thin">
        <color indexed="22"/>
      </top>
      <bottom style="thin">
        <color indexed="64"/>
      </bottom>
      <diagonal/>
    </border>
    <border>
      <left style="thin">
        <color indexed="64"/>
      </left>
      <right/>
      <top style="double">
        <color indexed="64"/>
      </top>
      <bottom style="double">
        <color indexed="64"/>
      </bottom>
      <diagonal/>
    </border>
    <border>
      <left/>
      <right style="thin">
        <color indexed="8"/>
      </right>
      <top style="double">
        <color indexed="64"/>
      </top>
      <bottom style="double">
        <color indexed="64"/>
      </bottom>
      <diagonal/>
    </border>
    <border>
      <left style="thin">
        <color indexed="8"/>
      </left>
      <right/>
      <top style="double">
        <color indexed="64"/>
      </top>
      <bottom style="double">
        <color indexed="64"/>
      </bottom>
      <diagonal/>
    </border>
    <border>
      <left style="double">
        <color indexed="8"/>
      </left>
      <right style="thin">
        <color indexed="64"/>
      </right>
      <top style="double">
        <color indexed="64"/>
      </top>
      <bottom style="double">
        <color indexed="64"/>
      </bottom>
      <diagonal/>
    </border>
    <border>
      <left style="thin">
        <color indexed="8"/>
      </left>
      <right style="thin">
        <color indexed="64"/>
      </right>
      <top style="double">
        <color indexed="64"/>
      </top>
      <bottom style="double">
        <color indexed="64"/>
      </bottom>
      <diagonal/>
    </border>
    <border>
      <left style="double">
        <color indexed="8"/>
      </left>
      <right style="thin">
        <color indexed="64"/>
      </right>
      <top style="thin">
        <color indexed="8"/>
      </top>
      <bottom style="thin">
        <color indexed="22"/>
      </bottom>
      <diagonal/>
    </border>
    <border>
      <left style="double">
        <color indexed="8"/>
      </left>
      <right style="thin">
        <color indexed="64"/>
      </right>
      <top style="thin">
        <color indexed="22"/>
      </top>
      <bottom style="thin">
        <color indexed="8"/>
      </bottom>
      <diagonal/>
    </border>
    <border>
      <left/>
      <right/>
      <top style="thin">
        <color indexed="8"/>
      </top>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double">
        <color indexed="8"/>
      </left>
      <right style="thin">
        <color indexed="8"/>
      </right>
      <top/>
      <bottom style="thin">
        <color indexed="64"/>
      </bottom>
      <diagonal/>
    </border>
    <border>
      <left style="thin">
        <color indexed="8"/>
      </left>
      <right style="thin">
        <color indexed="64"/>
      </right>
      <top/>
      <bottom style="thin">
        <color indexed="64"/>
      </bottom>
      <diagonal/>
    </border>
    <border>
      <left/>
      <right/>
      <top/>
      <bottom style="thin">
        <color indexed="64"/>
      </bottom>
      <diagonal/>
    </border>
    <border>
      <left/>
      <right style="double">
        <color indexed="8"/>
      </right>
      <top/>
      <bottom/>
      <diagonal/>
    </border>
    <border>
      <left style="thin">
        <color indexed="8"/>
      </left>
      <right style="thin">
        <color indexed="64"/>
      </right>
      <top/>
      <bottom/>
      <diagonal/>
    </border>
    <border>
      <left/>
      <right style="double">
        <color indexed="8"/>
      </right>
      <top style="thin">
        <color indexed="64"/>
      </top>
      <bottom/>
      <diagonal/>
    </border>
    <border>
      <left style="double">
        <color indexed="8"/>
      </left>
      <right style="thin">
        <color indexed="8"/>
      </right>
      <top style="thin">
        <color indexed="64"/>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top style="thin">
        <color indexed="64"/>
      </top>
      <bottom style="thin">
        <color indexed="22"/>
      </bottom>
      <diagonal/>
    </border>
    <border>
      <left/>
      <right/>
      <top style="thin">
        <color indexed="22"/>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double">
        <color indexed="64"/>
      </left>
      <right style="double">
        <color indexed="64"/>
      </right>
      <top style="double">
        <color indexed="64"/>
      </top>
      <bottom style="thin">
        <color theme="0" tint="-0.24994659260841701"/>
      </bottom>
      <diagonal/>
    </border>
    <border>
      <left style="double">
        <color indexed="64"/>
      </left>
      <right style="thin">
        <color indexed="64"/>
      </right>
      <top style="double">
        <color indexed="64"/>
      </top>
      <bottom style="thin">
        <color theme="0" tint="-0.24994659260841701"/>
      </bottom>
      <diagonal/>
    </border>
    <border>
      <left style="thin">
        <color indexed="64"/>
      </left>
      <right style="thin">
        <color indexed="64"/>
      </right>
      <top style="double">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double">
        <color indexed="64"/>
      </left>
      <right style="double">
        <color indexed="64"/>
      </right>
      <top style="thin">
        <color theme="0" tint="-0.24994659260841701"/>
      </top>
      <bottom style="thin">
        <color theme="0" tint="-0.24994659260841701"/>
      </bottom>
      <diagonal/>
    </border>
    <border>
      <left style="double">
        <color indexed="64"/>
      </left>
      <right style="thin">
        <color indexed="64"/>
      </right>
      <top style="thin">
        <color theme="0" tint="-0.24994659260841701"/>
      </top>
      <bottom style="thin">
        <color theme="0" tint="-0.24994659260841701"/>
      </bottom>
      <diagonal/>
    </border>
    <border>
      <left style="thin">
        <color indexed="64"/>
      </left>
      <right/>
      <top style="double">
        <color indexed="64"/>
      </top>
      <bottom style="thin">
        <color theme="0" tint="-0.24994659260841701"/>
      </bottom>
      <diagonal/>
    </border>
    <border>
      <left/>
      <right style="thin">
        <color indexed="64"/>
      </right>
      <top style="double">
        <color indexed="64"/>
      </top>
      <bottom style="thin">
        <color theme="0" tint="-0.24994659260841701"/>
      </bottom>
      <diagonal/>
    </border>
    <border>
      <left style="thin">
        <color indexed="8"/>
      </left>
      <right style="double">
        <color indexed="8"/>
      </right>
      <top style="thin">
        <color indexed="8"/>
      </top>
      <bottom style="thin">
        <color theme="0" tint="-0.24994659260841701"/>
      </bottom>
      <diagonal/>
    </border>
    <border>
      <left style="thin">
        <color indexed="8"/>
      </left>
      <right style="thin">
        <color indexed="8"/>
      </right>
      <top style="thin">
        <color indexed="8"/>
      </top>
      <bottom style="thin">
        <color theme="0" tint="-0.24994659260841701"/>
      </bottom>
      <diagonal/>
    </border>
    <border>
      <left style="thin">
        <color indexed="8"/>
      </left>
      <right style="double">
        <color indexed="8"/>
      </right>
      <top style="thin">
        <color theme="0" tint="-0.24994659260841701"/>
      </top>
      <bottom style="thin">
        <color theme="0" tint="-0.24994659260841701"/>
      </bottom>
      <diagonal/>
    </border>
    <border>
      <left style="double">
        <color indexed="8"/>
      </left>
      <right style="thin">
        <color indexed="8"/>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style="thin">
        <color indexed="8"/>
      </left>
      <right style="double">
        <color indexed="8"/>
      </right>
      <top style="thin">
        <color theme="0" tint="-0.24994659260841701"/>
      </top>
      <bottom style="thin">
        <color indexed="8"/>
      </bottom>
      <diagonal/>
    </border>
    <border>
      <left style="double">
        <color indexed="8"/>
      </left>
      <right style="thin">
        <color indexed="8"/>
      </right>
      <top style="thin">
        <color theme="0" tint="-0.24994659260841701"/>
      </top>
      <bottom style="thin">
        <color indexed="8"/>
      </bottom>
      <diagonal/>
    </border>
    <border>
      <left style="thin">
        <color indexed="8"/>
      </left>
      <right style="thin">
        <color indexed="8"/>
      </right>
      <top style="thin">
        <color theme="0" tint="-0.24994659260841701"/>
      </top>
      <bottom style="thin">
        <color indexed="8"/>
      </bottom>
      <diagonal/>
    </border>
    <border>
      <left style="thin">
        <color indexed="8"/>
      </left>
      <right style="double">
        <color indexed="8"/>
      </right>
      <top style="thin">
        <color theme="0" tint="-0.24994659260841701"/>
      </top>
      <bottom style="thin">
        <color indexed="64"/>
      </bottom>
      <diagonal/>
    </border>
    <border>
      <left/>
      <right style="double">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top style="thin">
        <color theme="0" tint="-0.24994659260841701"/>
      </top>
      <bottom style="thin">
        <color theme="0" tint="-0.24994659260841701"/>
      </bottom>
      <diagonal/>
    </border>
    <border>
      <left/>
      <right/>
      <top style="thin">
        <color indexed="8"/>
      </top>
      <bottom style="thin">
        <color theme="0" tint="-0.24994659260841701"/>
      </bottom>
      <diagonal/>
    </border>
    <border>
      <left style="double">
        <color indexed="64"/>
      </left>
      <right style="double">
        <color indexed="64"/>
      </right>
      <top style="thin">
        <color indexed="8"/>
      </top>
      <bottom style="thin">
        <color theme="0" tint="-0.24994659260841701"/>
      </bottom>
      <diagonal/>
    </border>
    <border>
      <left style="thin">
        <color indexed="64"/>
      </left>
      <right style="thin">
        <color indexed="64"/>
      </right>
      <top style="thin">
        <color indexed="8"/>
      </top>
      <bottom style="thin">
        <color theme="0" tint="-0.24994659260841701"/>
      </bottom>
      <diagonal/>
    </border>
    <border>
      <left style="double">
        <color indexed="64"/>
      </left>
      <right style="double">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double">
        <color indexed="64"/>
      </left>
      <right style="double">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theme="0" tint="-0.24994659260841701"/>
      </top>
      <bottom style="thin">
        <color indexed="8"/>
      </bottom>
      <diagonal/>
    </border>
    <border>
      <left style="thin">
        <color indexed="8"/>
      </left>
      <right/>
      <top style="thin">
        <color indexed="8"/>
      </top>
      <bottom style="thin">
        <color theme="0" tint="-0.24994659260841701"/>
      </bottom>
      <diagonal/>
    </border>
    <border>
      <left style="thin">
        <color indexed="8"/>
      </left>
      <right/>
      <top/>
      <bottom style="thin">
        <color theme="0" tint="-0.24994659260841701"/>
      </bottom>
      <diagonal/>
    </border>
    <border>
      <left style="double">
        <color indexed="64"/>
      </left>
      <right style="double">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top/>
      <bottom style="thin">
        <color theme="0" tint="-0.24994659260841701"/>
      </bottom>
      <diagonal/>
    </border>
    <border>
      <left style="double">
        <color indexed="64"/>
      </left>
      <right style="thin">
        <color indexed="64"/>
      </right>
      <top style="thin">
        <color theme="0" tint="-0.24994659260841701"/>
      </top>
      <bottom style="thin">
        <color indexed="64"/>
      </bottom>
      <diagonal/>
    </border>
    <border>
      <left style="thin">
        <color indexed="8"/>
      </left>
      <right/>
      <top style="thin">
        <color indexed="64"/>
      </top>
      <bottom style="thin">
        <color theme="0" tint="-0.24994659260841701"/>
      </bottom>
      <diagonal/>
    </border>
    <border>
      <left/>
      <right style="thin">
        <color indexed="8"/>
      </right>
      <top style="thin">
        <color indexed="64"/>
      </top>
      <bottom style="thin">
        <color theme="0" tint="-0.24994659260841701"/>
      </bottom>
      <diagonal/>
    </border>
    <border>
      <left style="thin">
        <color indexed="8"/>
      </left>
      <right style="double">
        <color indexed="8"/>
      </right>
      <top style="thin">
        <color indexed="64"/>
      </top>
      <bottom style="thin">
        <color theme="0" tint="-0.24994659260841701"/>
      </bottom>
      <diagonal/>
    </border>
    <border>
      <left style="thin">
        <color indexed="8"/>
      </left>
      <right/>
      <top style="thin">
        <color theme="0" tint="-0.24994659260841701"/>
      </top>
      <bottom style="thin">
        <color theme="0" tint="-0.24994659260841701"/>
      </bottom>
      <diagonal/>
    </border>
    <border>
      <left/>
      <right style="thin">
        <color indexed="8"/>
      </right>
      <top style="thin">
        <color theme="0" tint="-0.24994659260841701"/>
      </top>
      <bottom style="thin">
        <color theme="0" tint="-0.24994659260841701"/>
      </bottom>
      <diagonal/>
    </border>
    <border>
      <left style="thin">
        <color indexed="8"/>
      </left>
      <right/>
      <top style="thin">
        <color theme="0" tint="-0.24994659260841701"/>
      </top>
      <bottom style="thin">
        <color indexed="64"/>
      </bottom>
      <diagonal/>
    </border>
    <border>
      <left/>
      <right style="thin">
        <color indexed="8"/>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8"/>
      </left>
      <right/>
      <top style="thin">
        <color theme="0" tint="-0.24994659260841701"/>
      </top>
      <bottom style="thin">
        <color indexed="8"/>
      </bottom>
      <diagonal/>
    </border>
    <border>
      <left/>
      <right style="thin">
        <color indexed="8"/>
      </right>
      <top style="thin">
        <color theme="0" tint="-0.24994659260841701"/>
      </top>
      <bottom style="thin">
        <color indexed="8"/>
      </bottom>
      <diagonal/>
    </border>
    <border>
      <left/>
      <right style="thin">
        <color indexed="8"/>
      </right>
      <top style="thin">
        <color indexed="8"/>
      </top>
      <bottom style="thin">
        <color theme="0" tint="-0.24994659260841701"/>
      </bottom>
      <diagonal/>
    </border>
    <border>
      <left style="double">
        <color indexed="8"/>
      </left>
      <right style="thin">
        <color indexed="8"/>
      </right>
      <top style="thin">
        <color indexed="64"/>
      </top>
      <bottom style="thin">
        <color theme="0" tint="-0.24994659260841701"/>
      </bottom>
      <diagonal/>
    </border>
    <border>
      <left style="thin">
        <color indexed="8"/>
      </left>
      <right style="thin">
        <color indexed="8"/>
      </right>
      <top style="thin">
        <color indexed="64"/>
      </top>
      <bottom style="thin">
        <color theme="0" tint="-0.24994659260841701"/>
      </bottom>
      <diagonal/>
    </border>
    <border>
      <left style="thin">
        <color indexed="8"/>
      </left>
      <right style="thin">
        <color indexed="8"/>
      </right>
      <top style="thin">
        <color theme="0" tint="-0.24994659260841701"/>
      </top>
      <bottom style="thin">
        <color indexed="64"/>
      </bottom>
      <diagonal/>
    </border>
    <border>
      <left style="thin">
        <color indexed="8"/>
      </left>
      <right/>
      <top style="double">
        <color indexed="8"/>
      </top>
      <bottom style="thin">
        <color theme="0" tint="-0.24994659260841701"/>
      </bottom>
      <diagonal/>
    </border>
    <border>
      <left/>
      <right style="thin">
        <color indexed="8"/>
      </right>
      <top style="double">
        <color indexed="8"/>
      </top>
      <bottom style="thin">
        <color theme="0" tint="-0.24994659260841701"/>
      </bottom>
      <diagonal/>
    </border>
    <border>
      <left style="thin">
        <color indexed="8"/>
      </left>
      <right style="double">
        <color indexed="8"/>
      </right>
      <top style="double">
        <color indexed="8"/>
      </top>
      <bottom style="thin">
        <color theme="0" tint="-0.24994659260841701"/>
      </bottom>
      <diagonal/>
    </border>
    <border>
      <left/>
      <right style="thin">
        <color indexed="8"/>
      </right>
      <top style="thin">
        <color theme="0" tint="-0.24994659260841701"/>
      </top>
      <bottom style="double">
        <color indexed="8"/>
      </bottom>
      <diagonal/>
    </border>
    <border>
      <left style="thin">
        <color indexed="8"/>
      </left>
      <right style="double">
        <color indexed="8"/>
      </right>
      <top style="thin">
        <color theme="0" tint="-0.24994659260841701"/>
      </top>
      <bottom style="double">
        <color indexed="8"/>
      </bottom>
      <diagonal/>
    </border>
    <border>
      <left/>
      <right style="double">
        <color indexed="8"/>
      </right>
      <top style="thin">
        <color theme="0" tint="-0.24994659260841701"/>
      </top>
      <bottom style="thin">
        <color theme="0" tint="-0.24994659260841701"/>
      </bottom>
      <diagonal/>
    </border>
    <border>
      <left/>
      <right style="thin">
        <color indexed="8"/>
      </right>
      <top/>
      <bottom style="thin">
        <color theme="0" tint="-0.24994659260841701"/>
      </bottom>
      <diagonal/>
    </border>
    <border>
      <left/>
      <right style="double">
        <color indexed="8"/>
      </right>
      <top/>
      <bottom style="thin">
        <color theme="0" tint="-0.24994659260841701"/>
      </bottom>
      <diagonal/>
    </border>
    <border>
      <left style="double">
        <color indexed="8"/>
      </left>
      <right style="thin">
        <color indexed="8"/>
      </right>
      <top/>
      <bottom style="thin">
        <color theme="0" tint="-0.24994659260841701"/>
      </bottom>
      <diagonal/>
    </border>
    <border>
      <left style="thin">
        <color indexed="8"/>
      </left>
      <right style="thin">
        <color indexed="8"/>
      </right>
      <top/>
      <bottom style="thin">
        <color theme="0" tint="-0.24994659260841701"/>
      </bottom>
      <diagonal/>
    </border>
    <border>
      <left style="thin">
        <color indexed="8"/>
      </left>
      <right/>
      <top style="thin">
        <color theme="0" tint="-0.24994659260841701"/>
      </top>
      <bottom style="double">
        <color indexed="64"/>
      </bottom>
      <diagonal/>
    </border>
    <border>
      <left/>
      <right style="thin">
        <color indexed="8"/>
      </right>
      <top style="thin">
        <color theme="0" tint="-0.24994659260841701"/>
      </top>
      <bottom style="double">
        <color indexed="64"/>
      </bottom>
      <diagonal/>
    </border>
    <border>
      <left style="thin">
        <color indexed="8"/>
      </left>
      <right/>
      <top style="double">
        <color indexed="64"/>
      </top>
      <bottom style="thin">
        <color theme="0" tint="-0.24994659260841701"/>
      </bottom>
      <diagonal/>
    </border>
    <border>
      <left/>
      <right style="thin">
        <color indexed="8"/>
      </right>
      <top style="double">
        <color indexed="64"/>
      </top>
      <bottom style="thin">
        <color theme="0" tint="-0.24994659260841701"/>
      </bottom>
      <diagonal/>
    </border>
    <border>
      <left style="double">
        <color indexed="8"/>
      </left>
      <right style="thin">
        <color indexed="8"/>
      </right>
      <top style="double">
        <color indexed="64"/>
      </top>
      <bottom style="thin">
        <color theme="0" tint="-0.24994659260841701"/>
      </bottom>
      <diagonal/>
    </border>
    <border>
      <left style="thin">
        <color indexed="8"/>
      </left>
      <right style="thin">
        <color indexed="8"/>
      </right>
      <top style="double">
        <color indexed="64"/>
      </top>
      <bottom style="thin">
        <color theme="0" tint="-0.24994659260841701"/>
      </bottom>
      <diagonal/>
    </border>
    <border>
      <left style="thin">
        <color indexed="8"/>
      </left>
      <right/>
      <top style="thin">
        <color theme="0" tint="-0.24994659260841701"/>
      </top>
      <bottom/>
      <diagonal/>
    </border>
    <border>
      <left/>
      <right style="thin">
        <color indexed="8"/>
      </right>
      <top style="thin">
        <color theme="0" tint="-0.24994659260841701"/>
      </top>
      <bottom/>
      <diagonal/>
    </border>
    <border>
      <left/>
      <right style="double">
        <color indexed="8"/>
      </right>
      <top style="thin">
        <color theme="0" tint="-0.24994659260841701"/>
      </top>
      <bottom/>
      <diagonal/>
    </border>
    <border>
      <left style="double">
        <color indexed="8"/>
      </left>
      <right style="thin">
        <color indexed="8"/>
      </right>
      <top style="thin">
        <color theme="0" tint="-0.24994659260841701"/>
      </top>
      <bottom/>
      <diagonal/>
    </border>
    <border>
      <left style="thin">
        <color indexed="8"/>
      </left>
      <right style="thin">
        <color indexed="8"/>
      </right>
      <top style="thin">
        <color theme="0" tint="-0.24994659260841701"/>
      </top>
      <bottom/>
      <diagonal/>
    </border>
    <border>
      <left style="double">
        <color indexed="8"/>
      </left>
      <right style="thin">
        <color indexed="8"/>
      </right>
      <top style="thin">
        <color theme="0" tint="-0.24994659260841701"/>
      </top>
      <bottom style="thin">
        <color indexed="64"/>
      </bottom>
      <diagonal/>
    </border>
    <border>
      <left/>
      <right style="double">
        <color indexed="8"/>
      </right>
      <top style="thin">
        <color theme="0" tint="-0.24994659260841701"/>
      </top>
      <bottom style="thin">
        <color indexed="8"/>
      </bottom>
      <diagonal/>
    </border>
    <border>
      <left/>
      <right style="double">
        <color indexed="8"/>
      </right>
      <top style="thin">
        <color theme="0" tint="-0.24994659260841701"/>
      </top>
      <bottom style="thin">
        <color indexed="64"/>
      </bottom>
      <diagonal/>
    </border>
    <border>
      <left/>
      <right style="double">
        <color indexed="8"/>
      </right>
      <top style="thin">
        <color indexed="64"/>
      </top>
      <bottom style="thin">
        <color theme="0" tint="-0.24994659260841701"/>
      </bottom>
      <diagonal/>
    </border>
    <border>
      <left style="thin">
        <color indexed="8"/>
      </left>
      <right style="thin">
        <color indexed="64"/>
      </right>
      <top style="thin">
        <color indexed="64"/>
      </top>
      <bottom style="thin">
        <color theme="0" tint="-0.24994659260841701"/>
      </bottom>
      <diagonal/>
    </border>
    <border>
      <left style="thin">
        <color indexed="8"/>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8"/>
      </bottom>
      <diagonal/>
    </border>
    <border>
      <left style="thin">
        <color indexed="64"/>
      </left>
      <right/>
      <top style="thin">
        <color indexed="8"/>
      </top>
      <bottom style="thin">
        <color theme="0" tint="-0.24994659260841701"/>
      </bottom>
      <diagonal/>
    </border>
    <border>
      <left/>
      <right style="thin">
        <color indexed="64"/>
      </right>
      <top style="thin">
        <color indexed="8"/>
      </top>
      <bottom style="thin">
        <color theme="0" tint="-0.24994659260841701"/>
      </bottom>
      <diagonal/>
    </border>
    <border>
      <left style="thin">
        <color indexed="8"/>
      </left>
      <right style="thin">
        <color indexed="64"/>
      </right>
      <top style="thin">
        <color indexed="8"/>
      </top>
      <bottom style="thin">
        <color theme="0" tint="-0.24994659260841701"/>
      </bottom>
      <diagonal/>
    </border>
    <border>
      <left/>
      <right style="thin">
        <color theme="1"/>
      </right>
      <top style="thin">
        <color theme="0" tint="-0.24994659260841701"/>
      </top>
      <bottom style="thin">
        <color theme="0" tint="-0.24994659260841701"/>
      </bottom>
      <diagonal/>
    </border>
    <border>
      <left/>
      <right style="thin">
        <color theme="1"/>
      </right>
      <top style="thin">
        <color theme="0" tint="-0.24994659260841701"/>
      </top>
      <bottom style="thin">
        <color indexed="64"/>
      </bottom>
      <diagonal/>
    </border>
    <border>
      <left style="thin">
        <color indexed="8"/>
      </left>
      <right style="thin">
        <color indexed="64"/>
      </right>
      <top style="thin">
        <color theme="0" tint="-0.24994659260841701"/>
      </top>
      <bottom style="thin">
        <color indexed="64"/>
      </bottom>
      <diagonal/>
    </border>
    <border>
      <left style="double">
        <color indexed="8"/>
      </left>
      <right style="thin">
        <color indexed="64"/>
      </right>
      <top style="thin">
        <color indexed="64"/>
      </top>
      <bottom style="thin">
        <color theme="0" tint="-0.24994659260841701"/>
      </bottom>
      <diagonal/>
    </border>
    <border>
      <left style="double">
        <color indexed="8"/>
      </left>
      <right style="thin">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theme="0" tint="-0.24994659260841701"/>
      </bottom>
      <diagonal/>
    </border>
    <border>
      <left style="thin">
        <color indexed="64"/>
      </left>
      <right style="double">
        <color indexed="64"/>
      </right>
      <top style="thin">
        <color theme="0" tint="-0.24994659260841701"/>
      </top>
      <bottom style="thin">
        <color indexed="64"/>
      </bottom>
      <diagonal/>
    </border>
    <border>
      <left/>
      <right/>
      <top style="thin">
        <color indexed="64"/>
      </top>
      <bottom style="thin">
        <color theme="0" tint="-0.24994659260841701"/>
      </bottom>
      <diagonal/>
    </border>
    <border>
      <left style="thin">
        <color indexed="64"/>
      </left>
      <right style="double">
        <color indexed="64"/>
      </right>
      <top style="thin">
        <color indexed="64"/>
      </top>
      <bottom style="thin">
        <color theme="0" tint="-0.24994659260841701"/>
      </bottom>
      <diagonal/>
    </border>
    <border>
      <left style="double">
        <color indexed="64"/>
      </left>
      <right style="thin">
        <color indexed="64"/>
      </right>
      <top style="thin">
        <color indexed="64"/>
      </top>
      <bottom style="thin">
        <color theme="0" tint="-0.24994659260841701"/>
      </bottom>
      <diagonal/>
    </border>
    <border>
      <left style="thin">
        <color indexed="8"/>
      </left>
      <right style="double">
        <color indexed="8"/>
      </right>
      <top style="double">
        <color indexed="64"/>
      </top>
      <bottom style="thin">
        <color theme="0" tint="-0.24994659260841701"/>
      </bottom>
      <diagonal/>
    </border>
    <border>
      <left style="thin">
        <color indexed="8"/>
      </left>
      <right style="thin">
        <color indexed="64"/>
      </right>
      <top style="double">
        <color indexed="64"/>
      </top>
      <bottom style="thin">
        <color theme="0" tint="-0.24994659260841701"/>
      </bottom>
      <diagonal/>
    </border>
    <border>
      <left style="thin">
        <color indexed="64"/>
      </left>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indexed="64"/>
      </left>
      <right style="double">
        <color indexed="64"/>
      </right>
      <top style="thin">
        <color theme="0" tint="-0.24994659260841701"/>
      </top>
      <bottom style="double">
        <color indexed="64"/>
      </bottom>
      <diagonal/>
    </border>
    <border>
      <left style="double">
        <color indexed="64"/>
      </left>
      <right style="thin">
        <color indexed="64"/>
      </right>
      <top style="thin">
        <color theme="0" tint="-0.24994659260841701"/>
      </top>
      <bottom style="double">
        <color indexed="64"/>
      </bottom>
      <diagonal/>
    </border>
    <border>
      <left style="thin">
        <color indexed="64"/>
      </left>
      <right style="thin">
        <color indexed="64"/>
      </right>
      <top style="thin">
        <color theme="0" tint="-0.24994659260841701"/>
      </top>
      <bottom style="double">
        <color indexed="64"/>
      </bottom>
      <diagonal/>
    </border>
    <border>
      <left/>
      <right style="thin">
        <color indexed="64"/>
      </right>
      <top style="thin">
        <color theme="0" tint="-0.24994659260841701"/>
      </top>
      <bottom style="thin">
        <color indexed="8"/>
      </bottom>
      <diagonal/>
    </border>
    <border>
      <left style="thin">
        <color indexed="8"/>
      </left>
      <right style="double">
        <color indexed="8"/>
      </right>
      <top/>
      <bottom style="thin">
        <color theme="0" tint="-0.24994659260841701"/>
      </bottom>
      <diagonal/>
    </border>
    <border>
      <left style="thin">
        <color indexed="8"/>
      </left>
      <right/>
      <top style="double">
        <color theme="1"/>
      </top>
      <bottom style="thin">
        <color theme="0" tint="-0.24994659260841701"/>
      </bottom>
      <diagonal/>
    </border>
    <border>
      <left/>
      <right/>
      <top style="double">
        <color theme="1"/>
      </top>
      <bottom style="thin">
        <color theme="0" tint="-0.24994659260841701"/>
      </bottom>
      <diagonal/>
    </border>
    <border>
      <left style="thin">
        <color theme="1"/>
      </left>
      <right style="double">
        <color theme="1"/>
      </right>
      <top style="double">
        <color theme="1"/>
      </top>
      <bottom style="thin">
        <color theme="0" tint="-0.24994659260841701"/>
      </bottom>
      <diagonal/>
    </border>
    <border>
      <left style="double">
        <color theme="1"/>
      </left>
      <right style="thin">
        <color theme="1"/>
      </right>
      <top style="double">
        <color theme="1"/>
      </top>
      <bottom style="thin">
        <color theme="0" tint="-0.24994659260841701"/>
      </bottom>
      <diagonal/>
    </border>
    <border>
      <left style="thin">
        <color theme="1"/>
      </left>
      <right style="thin">
        <color theme="1"/>
      </right>
      <top style="double">
        <color theme="1"/>
      </top>
      <bottom style="thin">
        <color theme="0" tint="-0.24994659260841701"/>
      </bottom>
      <diagonal/>
    </border>
    <border>
      <left style="thin">
        <color theme="1"/>
      </left>
      <right style="thin">
        <color indexed="8"/>
      </right>
      <top style="double">
        <color theme="1"/>
      </top>
      <bottom style="thin">
        <color theme="0" tint="-0.24994659260841701"/>
      </bottom>
      <diagonal/>
    </border>
    <border>
      <left style="thin">
        <color indexed="8"/>
      </left>
      <right/>
      <top style="thin">
        <color theme="0" tint="-0.24994659260841701"/>
      </top>
      <bottom style="double">
        <color theme="1"/>
      </bottom>
      <diagonal/>
    </border>
    <border>
      <left/>
      <right/>
      <top style="thin">
        <color theme="0" tint="-0.24994659260841701"/>
      </top>
      <bottom style="double">
        <color theme="1"/>
      </bottom>
      <diagonal/>
    </border>
    <border>
      <left style="thin">
        <color theme="1"/>
      </left>
      <right style="double">
        <color theme="1"/>
      </right>
      <top style="thin">
        <color theme="0" tint="-0.24994659260841701"/>
      </top>
      <bottom style="double">
        <color theme="1"/>
      </bottom>
      <diagonal/>
    </border>
    <border>
      <left style="double">
        <color theme="1"/>
      </left>
      <right style="thin">
        <color theme="1"/>
      </right>
      <top style="thin">
        <color theme="0" tint="-0.24994659260841701"/>
      </top>
      <bottom style="double">
        <color theme="1"/>
      </bottom>
      <diagonal/>
    </border>
    <border>
      <left style="thin">
        <color theme="1"/>
      </left>
      <right style="thin">
        <color theme="1"/>
      </right>
      <top style="thin">
        <color theme="0" tint="-0.24994659260841701"/>
      </top>
      <bottom style="double">
        <color theme="1"/>
      </bottom>
      <diagonal/>
    </border>
    <border>
      <left style="thin">
        <color theme="1"/>
      </left>
      <right style="thin">
        <color indexed="8"/>
      </right>
      <top style="thin">
        <color theme="0" tint="-0.24994659260841701"/>
      </top>
      <bottom style="double">
        <color theme="1"/>
      </bottom>
      <diagonal/>
    </border>
    <border>
      <left style="thin">
        <color theme="1"/>
      </left>
      <right style="double">
        <color theme="1"/>
      </right>
      <top/>
      <bottom style="thin">
        <color indexed="22"/>
      </bottom>
      <diagonal/>
    </border>
    <border>
      <left/>
      <right/>
      <top style="thin">
        <color theme="1"/>
      </top>
      <bottom style="thin">
        <color indexed="22"/>
      </bottom>
      <diagonal/>
    </border>
    <border>
      <left style="thin">
        <color theme="1"/>
      </left>
      <right style="double">
        <color theme="1"/>
      </right>
      <top style="thin">
        <color indexed="8"/>
      </top>
      <bottom style="thin">
        <color indexed="22"/>
      </bottom>
      <diagonal/>
    </border>
    <border>
      <left style="double">
        <color theme="1"/>
      </left>
      <right style="thin">
        <color theme="1"/>
      </right>
      <top style="thin">
        <color indexed="8"/>
      </top>
      <bottom style="thin">
        <color indexed="22"/>
      </bottom>
      <diagonal/>
    </border>
    <border>
      <left style="thin">
        <color theme="1"/>
      </left>
      <right style="thin">
        <color theme="1"/>
      </right>
      <top style="thin">
        <color indexed="8"/>
      </top>
      <bottom style="thin">
        <color indexed="22"/>
      </bottom>
      <diagonal/>
    </border>
    <border>
      <left style="thin">
        <color theme="1"/>
      </left>
      <right style="thin">
        <color indexed="8"/>
      </right>
      <top style="thin">
        <color indexed="8"/>
      </top>
      <bottom style="thin">
        <color indexed="22"/>
      </bottom>
      <diagonal/>
    </border>
    <border>
      <left style="thin">
        <color theme="1"/>
      </left>
      <right/>
      <top style="thin">
        <color indexed="22"/>
      </top>
      <bottom style="thin">
        <color indexed="22"/>
      </bottom>
      <diagonal/>
    </border>
    <border>
      <left style="thin">
        <color theme="1"/>
      </left>
      <right style="double">
        <color theme="1"/>
      </right>
      <top style="thin">
        <color indexed="22"/>
      </top>
      <bottom style="thin">
        <color indexed="22"/>
      </bottom>
      <diagonal/>
    </border>
    <border>
      <left style="double">
        <color theme="1"/>
      </left>
      <right style="thin">
        <color theme="1"/>
      </right>
      <top style="thin">
        <color indexed="22"/>
      </top>
      <bottom style="thin">
        <color indexed="22"/>
      </bottom>
      <diagonal/>
    </border>
    <border>
      <left style="thin">
        <color theme="1"/>
      </left>
      <right style="thin">
        <color theme="1"/>
      </right>
      <top style="thin">
        <color indexed="22"/>
      </top>
      <bottom style="thin">
        <color indexed="22"/>
      </bottom>
      <diagonal/>
    </border>
    <border>
      <left style="thin">
        <color theme="1"/>
      </left>
      <right style="thin">
        <color indexed="8"/>
      </right>
      <top style="thin">
        <color indexed="22"/>
      </top>
      <bottom style="thin">
        <color indexed="22"/>
      </bottom>
      <diagonal/>
    </border>
    <border>
      <left style="thin">
        <color theme="1"/>
      </left>
      <right style="double">
        <color theme="1"/>
      </right>
      <top style="thin">
        <color indexed="22"/>
      </top>
      <bottom style="thin">
        <color indexed="8"/>
      </bottom>
      <diagonal/>
    </border>
    <border>
      <left style="double">
        <color theme="1"/>
      </left>
      <right style="thin">
        <color theme="1"/>
      </right>
      <top style="thin">
        <color indexed="22"/>
      </top>
      <bottom style="thin">
        <color indexed="8"/>
      </bottom>
      <diagonal/>
    </border>
    <border>
      <left style="thin">
        <color theme="1"/>
      </left>
      <right style="thin">
        <color theme="1"/>
      </right>
      <top style="thin">
        <color indexed="22"/>
      </top>
      <bottom style="thin">
        <color indexed="8"/>
      </bottom>
      <diagonal/>
    </border>
    <border>
      <left style="thin">
        <color theme="1"/>
      </left>
      <right style="thin">
        <color indexed="8"/>
      </right>
      <top style="thin">
        <color indexed="22"/>
      </top>
      <bottom style="thin">
        <color indexed="8"/>
      </bottom>
      <diagonal/>
    </border>
    <border>
      <left style="thin">
        <color theme="1"/>
      </left>
      <right/>
      <top style="thin">
        <color indexed="8"/>
      </top>
      <bottom style="thin">
        <color indexed="22"/>
      </bottom>
      <diagonal/>
    </border>
    <border>
      <left style="thin">
        <color theme="1"/>
      </left>
      <right/>
      <top style="thin">
        <color indexed="22"/>
      </top>
      <bottom style="thin">
        <color indexed="8"/>
      </bottom>
      <diagonal/>
    </border>
    <border>
      <left style="thin">
        <color theme="1"/>
      </left>
      <right/>
      <top/>
      <bottom/>
      <diagonal/>
    </border>
    <border>
      <left style="double">
        <color theme="1"/>
      </left>
      <right style="thin">
        <color theme="1"/>
      </right>
      <top/>
      <bottom/>
      <diagonal/>
    </border>
    <border>
      <left style="thin">
        <color theme="1"/>
      </left>
      <right style="thin">
        <color theme="1"/>
      </right>
      <top/>
      <bottom/>
      <diagonal/>
    </border>
    <border>
      <left style="thin">
        <color theme="1"/>
      </left>
      <right style="thin">
        <color indexed="8"/>
      </right>
      <top/>
      <bottom/>
      <diagonal/>
    </border>
    <border>
      <left style="thin">
        <color theme="1"/>
      </left>
      <right/>
      <top style="thin">
        <color indexed="22"/>
      </top>
      <bottom/>
      <diagonal/>
    </border>
    <border>
      <left style="thin">
        <color theme="1"/>
      </left>
      <right style="double">
        <color theme="1"/>
      </right>
      <top style="thin">
        <color indexed="22"/>
      </top>
      <bottom/>
      <diagonal/>
    </border>
    <border>
      <left style="double">
        <color theme="1"/>
      </left>
      <right style="thin">
        <color theme="1"/>
      </right>
      <top style="thin">
        <color indexed="22"/>
      </top>
      <bottom/>
      <diagonal/>
    </border>
    <border>
      <left style="thin">
        <color theme="1"/>
      </left>
      <right style="thin">
        <color theme="1"/>
      </right>
      <top style="thin">
        <color indexed="22"/>
      </top>
      <bottom/>
      <diagonal/>
    </border>
    <border>
      <left style="thin">
        <color theme="1"/>
      </left>
      <right style="thin">
        <color indexed="8"/>
      </right>
      <top style="thin">
        <color indexed="22"/>
      </top>
      <bottom/>
      <diagonal/>
    </border>
    <border>
      <left style="thin">
        <color theme="1"/>
      </left>
      <right style="double">
        <color theme="1"/>
      </right>
      <top/>
      <bottom/>
      <diagonal/>
    </border>
    <border>
      <left style="thin">
        <color theme="1"/>
      </left>
      <right/>
      <top/>
      <bottom style="thin">
        <color indexed="22"/>
      </bottom>
      <diagonal/>
    </border>
    <border>
      <left style="double">
        <color theme="1"/>
      </left>
      <right style="thin">
        <color theme="1"/>
      </right>
      <top/>
      <bottom style="thin">
        <color indexed="22"/>
      </bottom>
      <diagonal/>
    </border>
    <border>
      <left style="thin">
        <color theme="1"/>
      </left>
      <right style="thin">
        <color theme="1"/>
      </right>
      <top/>
      <bottom style="thin">
        <color indexed="22"/>
      </bottom>
      <diagonal/>
    </border>
    <border>
      <left style="thin">
        <color theme="1"/>
      </left>
      <right style="thin">
        <color indexed="8"/>
      </right>
      <top/>
      <bottom style="thin">
        <color indexed="22"/>
      </bottom>
      <diagonal/>
    </border>
    <border>
      <left style="double">
        <color indexed="8"/>
      </left>
      <right style="thin">
        <color indexed="64"/>
      </right>
      <top style="thin">
        <color theme="0" tint="-0.24994659260841701"/>
      </top>
      <bottom style="thin">
        <color indexed="64"/>
      </bottom>
      <diagonal/>
    </border>
    <border>
      <left style="double">
        <color indexed="8"/>
      </left>
      <right style="thin">
        <color indexed="64"/>
      </right>
      <top style="thin">
        <color theme="0" tint="-0.24994659260841701"/>
      </top>
      <bottom style="double">
        <color indexed="64"/>
      </bottom>
      <diagonal/>
    </border>
    <border>
      <left style="thin">
        <color indexed="8"/>
      </left>
      <right style="thin">
        <color indexed="64"/>
      </right>
      <top style="thin">
        <color theme="0" tint="-0.24994659260841701"/>
      </top>
      <bottom style="double">
        <color indexed="64"/>
      </bottom>
      <diagonal/>
    </border>
    <border>
      <left style="double">
        <color indexed="8"/>
      </left>
      <right style="thin">
        <color indexed="64"/>
      </right>
      <top style="double">
        <color indexed="64"/>
      </top>
      <bottom style="thin">
        <color theme="0" tint="-0.24994659260841701"/>
      </bottom>
      <diagonal/>
    </border>
    <border>
      <left style="double">
        <color indexed="8"/>
      </left>
      <right style="thin">
        <color indexed="64"/>
      </right>
      <top style="thin">
        <color theme="0" tint="-0.24994659260841701"/>
      </top>
      <bottom style="thin">
        <color indexed="8"/>
      </bottom>
      <diagonal/>
    </border>
    <border>
      <left style="thin">
        <color indexed="8"/>
      </left>
      <right style="thin">
        <color indexed="8"/>
      </right>
      <top style="double">
        <color indexed="8"/>
      </top>
      <bottom style="thin">
        <color theme="0" tint="-0.24994659260841701"/>
      </bottom>
      <diagonal/>
    </border>
    <border>
      <left style="thin">
        <color indexed="8"/>
      </left>
      <right/>
      <top style="thin">
        <color theme="0" tint="-0.24994659260841701"/>
      </top>
      <bottom style="double">
        <color indexed="8"/>
      </bottom>
      <diagonal/>
    </border>
    <border>
      <left style="thin">
        <color indexed="8"/>
      </left>
      <right style="thin">
        <color indexed="8"/>
      </right>
      <top style="thin">
        <color theme="0" tint="-0.24994659260841701"/>
      </top>
      <bottom style="double">
        <color indexed="8"/>
      </bottom>
      <diagonal/>
    </border>
    <border>
      <left style="thin">
        <color indexed="8"/>
      </left>
      <right/>
      <top/>
      <bottom style="double">
        <color theme="1"/>
      </bottom>
      <diagonal/>
    </border>
    <border>
      <left/>
      <right style="thin">
        <color indexed="8"/>
      </right>
      <top/>
      <bottom style="double">
        <color theme="1"/>
      </bottom>
      <diagonal/>
    </border>
    <border>
      <left style="thin">
        <color indexed="8"/>
      </left>
      <right style="double">
        <color indexed="8"/>
      </right>
      <top/>
      <bottom style="double">
        <color theme="1"/>
      </bottom>
      <diagonal/>
    </border>
    <border>
      <left style="thin">
        <color indexed="64"/>
      </left>
      <right style="thin">
        <color indexed="8"/>
      </right>
      <top style="thin">
        <color indexed="64"/>
      </top>
      <bottom style="thin">
        <color theme="0" tint="-0.24994659260841701"/>
      </bottom>
      <diagonal/>
    </border>
    <border>
      <left style="thin">
        <color indexed="64"/>
      </left>
      <right style="thin">
        <color indexed="8"/>
      </right>
      <top style="thin">
        <color theme="0" tint="-0.24994659260841701"/>
      </top>
      <bottom style="thin">
        <color theme="0" tint="-0.24994659260841701"/>
      </bottom>
      <diagonal/>
    </border>
    <border>
      <left style="thin">
        <color indexed="64"/>
      </left>
      <right style="thin">
        <color indexed="8"/>
      </right>
      <top style="thin">
        <color theme="0" tint="-0.24994659260841701"/>
      </top>
      <bottom style="thin">
        <color indexed="64"/>
      </bottom>
      <diagonal/>
    </border>
    <border>
      <left style="thin">
        <color indexed="64"/>
      </left>
      <right style="thin">
        <color indexed="8"/>
      </right>
      <top style="thin">
        <color theme="0" tint="-0.24994659260841701"/>
      </top>
      <bottom/>
      <diagonal/>
    </border>
    <border>
      <left style="thin">
        <color indexed="8"/>
      </left>
      <right style="double">
        <color indexed="8"/>
      </right>
      <top style="thin">
        <color theme="0" tint="-0.24994659260841701"/>
      </top>
      <bottom/>
      <diagonal/>
    </border>
    <border>
      <left style="thin">
        <color indexed="64"/>
      </left>
      <right/>
      <top style="thin">
        <color theme="0" tint="-0.24994659260841701"/>
      </top>
      <bottom/>
      <diagonal/>
    </border>
    <border>
      <left style="thin">
        <color indexed="8"/>
      </left>
      <right style="thin">
        <color indexed="64"/>
      </right>
      <top style="thin">
        <color theme="0" tint="-0.24994659260841701"/>
      </top>
      <bottom/>
      <diagonal/>
    </border>
    <border>
      <left/>
      <right style="thin">
        <color indexed="64"/>
      </right>
      <top style="thin">
        <color theme="0" tint="-0.24994659260841701"/>
      </top>
      <bottom/>
      <diagonal/>
    </border>
    <border>
      <left style="thin">
        <color rgb="FF000000"/>
      </left>
      <right style="thin">
        <color rgb="FF000000"/>
      </right>
      <top style="thin">
        <color rgb="FF000000"/>
      </top>
      <bottom style="thin">
        <color rgb="FF000000"/>
      </bottom>
      <diagonal/>
    </border>
    <border>
      <left style="double">
        <color indexed="8"/>
      </left>
      <right style="thin">
        <color indexed="8"/>
      </right>
      <top style="double">
        <color indexed="8"/>
      </top>
      <bottom style="thin">
        <color theme="0" tint="-0.24994659260841701"/>
      </bottom>
      <diagonal/>
    </border>
    <border>
      <left style="double">
        <color indexed="8"/>
      </left>
      <right style="thin">
        <color indexed="8"/>
      </right>
      <top style="thin">
        <color theme="0" tint="-0.24994659260841701"/>
      </top>
      <bottom style="double">
        <color indexed="8"/>
      </bottom>
      <diagonal/>
    </border>
    <border>
      <left style="thin">
        <color indexed="64"/>
      </left>
      <right style="dotted">
        <color theme="0" tint="-0.14996795556505021"/>
      </right>
      <top style="thin">
        <color indexed="64"/>
      </top>
      <bottom style="thin">
        <color indexed="64"/>
      </bottom>
      <diagonal/>
    </border>
    <border>
      <left style="double">
        <color indexed="64"/>
      </left>
      <right style="double">
        <color indexed="64"/>
      </right>
      <top style="thin">
        <color theme="0" tint="-0.24994659260841701"/>
      </top>
      <bottom style="thin">
        <color indexed="8"/>
      </bottom>
      <diagonal/>
    </border>
    <border>
      <left/>
      <right/>
      <top style="thin">
        <color theme="0" tint="-0.24994659260841701"/>
      </top>
      <bottom/>
      <diagonal/>
    </border>
    <border>
      <left style="thin">
        <color indexed="8"/>
      </left>
      <right style="thin">
        <color indexed="64"/>
      </right>
      <top/>
      <bottom style="thin">
        <color theme="0" tint="-0.24994659260841701"/>
      </bottom>
      <diagonal/>
    </border>
    <border>
      <left style="thin">
        <color indexed="8"/>
      </left>
      <right/>
      <top style="thin">
        <color theme="0" tint="-0.24994659260841701"/>
      </top>
      <bottom style="thin">
        <color theme="0" tint="-0.499984740745262"/>
      </bottom>
      <diagonal/>
    </border>
    <border>
      <left/>
      <right style="thin">
        <color indexed="8"/>
      </right>
      <top style="thin">
        <color theme="0" tint="-0.24994659260841701"/>
      </top>
      <bottom style="thin">
        <color theme="0" tint="-0.499984740745262"/>
      </bottom>
      <diagonal/>
    </border>
    <border>
      <left style="thin">
        <color indexed="8"/>
      </left>
      <right style="thin">
        <color indexed="8"/>
      </right>
      <top style="thin">
        <color theme="0" tint="-0.24994659260841701"/>
      </top>
      <bottom style="thin">
        <color theme="0" tint="-0.499984740745262"/>
      </bottom>
      <diagonal/>
    </border>
    <border>
      <left style="thin">
        <color indexed="8"/>
      </left>
      <right/>
      <top style="thin">
        <color theme="0" tint="-0.499984740745262"/>
      </top>
      <bottom style="thin">
        <color theme="0" tint="-0.24994659260841701"/>
      </bottom>
      <diagonal/>
    </border>
    <border>
      <left/>
      <right style="thin">
        <color indexed="8"/>
      </right>
      <top style="thin">
        <color theme="0" tint="-0.499984740745262"/>
      </top>
      <bottom style="thin">
        <color theme="0" tint="-0.24994659260841701"/>
      </bottom>
      <diagonal/>
    </border>
    <border>
      <left style="thin">
        <color indexed="8"/>
      </left>
      <right style="thin">
        <color indexed="8"/>
      </right>
      <top style="thin">
        <color theme="0" tint="-0.499984740745262"/>
      </top>
      <bottom style="thin">
        <color theme="0" tint="-0.24994659260841701"/>
      </bottom>
      <diagonal/>
    </border>
    <border>
      <left style="dotted">
        <color theme="0" tint="-0.14996795556505021"/>
      </left>
      <right style="dotted">
        <color theme="0" tint="-0.14996795556505021"/>
      </right>
      <top style="thin">
        <color indexed="64"/>
      </top>
      <bottom style="thin">
        <color indexed="64"/>
      </bottom>
      <diagonal/>
    </border>
    <border>
      <left style="dotted">
        <color theme="0" tint="-0.14996795556505021"/>
      </left>
      <right style="thin">
        <color indexed="64"/>
      </right>
      <top style="thin">
        <color indexed="64"/>
      </top>
      <bottom style="thin">
        <color indexed="64"/>
      </bottom>
      <diagonal/>
    </border>
    <border>
      <left style="thin">
        <color rgb="FF000000"/>
      </left>
      <right style="thin">
        <color rgb="FF000000"/>
      </right>
      <top style="thin">
        <color rgb="FF000000"/>
      </top>
      <bottom style="double">
        <color indexed="64"/>
      </bottom>
      <diagonal/>
    </border>
    <border>
      <left/>
      <right/>
      <top style="thin">
        <color rgb="FF000000"/>
      </top>
      <bottom/>
      <diagonal/>
    </border>
    <border>
      <left/>
      <right/>
      <top/>
      <bottom style="thin">
        <color rgb="FF000000"/>
      </bottom>
      <diagonal/>
    </border>
  </borders>
  <cellStyleXfs count="65">
    <xf numFmtId="0" fontId="0" fillId="0" borderId="0"/>
    <xf numFmtId="0" fontId="37" fillId="6" borderId="0" applyNumberFormat="0" applyBorder="0" applyAlignment="0" applyProtection="0"/>
    <xf numFmtId="0" fontId="1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2" fillId="0" borderId="0"/>
    <xf numFmtId="0" fontId="11" fillId="0" borderId="0"/>
    <xf numFmtId="0" fontId="11"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3" fillId="0" borderId="0"/>
    <xf numFmtId="0" fontId="33" fillId="0" borderId="1"/>
    <xf numFmtId="38" fontId="14" fillId="2" borderId="0" applyNumberFormat="0" applyBorder="0" applyAlignment="0" applyProtection="0"/>
    <xf numFmtId="0" fontId="4" fillId="0" borderId="2" applyNumberFormat="0" applyAlignment="0" applyProtection="0">
      <alignment horizontal="left" vertical="center"/>
    </xf>
    <xf numFmtId="0" fontId="4" fillId="0" borderId="3">
      <alignment horizontal="left" vertical="center"/>
    </xf>
    <xf numFmtId="0" fontId="24" fillId="0" borderId="0" applyNumberFormat="0" applyFill="0" applyBorder="0" applyAlignment="0" applyProtection="0">
      <alignment vertical="top"/>
      <protection locked="0"/>
    </xf>
    <xf numFmtId="10" fontId="14" fillId="3" borderId="4" applyNumberFormat="0" applyBorder="0" applyAlignment="0" applyProtection="0"/>
    <xf numFmtId="0" fontId="34" fillId="4" borderId="1"/>
    <xf numFmtId="170" fontId="2" fillId="0" borderId="0"/>
    <xf numFmtId="0" fontId="3" fillId="0" borderId="0"/>
    <xf numFmtId="0" fontId="25" fillId="0" borderId="0"/>
    <xf numFmtId="0" fontId="37" fillId="0" borderId="0"/>
    <xf numFmtId="0" fontId="7" fillId="0" borderId="0"/>
    <xf numFmtId="0" fontId="7" fillId="0" borderId="0"/>
    <xf numFmtId="0" fontId="36" fillId="0" borderId="0"/>
    <xf numFmtId="0" fontId="25" fillId="0" borderId="0"/>
    <xf numFmtId="0" fontId="7" fillId="0" borderId="0"/>
    <xf numFmtId="0" fontId="30" fillId="0" borderId="0"/>
    <xf numFmtId="0" fontId="26" fillId="0" borderId="0"/>
    <xf numFmtId="0" fontId="7" fillId="0" borderId="0"/>
    <xf numFmtId="0" fontId="38" fillId="0" borderId="0"/>
    <xf numFmtId="49" fontId="31" fillId="0" borderId="0"/>
    <xf numFmtId="0" fontId="12" fillId="0" borderId="0"/>
    <xf numFmtId="0" fontId="3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7" fillId="0" borderId="0"/>
    <xf numFmtId="0" fontId="3" fillId="0" borderId="0"/>
    <xf numFmtId="10" fontId="2"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3" fillId="0" borderId="0"/>
    <xf numFmtId="0" fontId="33" fillId="0" borderId="1"/>
    <xf numFmtId="0" fontId="35" fillId="5" borderId="0"/>
    <xf numFmtId="0" fontId="34" fillId="0" borderId="5"/>
    <xf numFmtId="0" fontId="34" fillId="0" borderId="1"/>
    <xf numFmtId="0" fontId="1" fillId="0" borderId="0"/>
  </cellStyleXfs>
  <cellXfs count="1117">
    <xf numFmtId="0" fontId="0" fillId="0" borderId="0" xfId="0"/>
    <xf numFmtId="0" fontId="3" fillId="0" borderId="0" xfId="45" applyBorder="1"/>
    <xf numFmtId="37" fontId="3" fillId="0" borderId="0" xfId="45" applyNumberFormat="1" applyBorder="1" applyAlignment="1" applyProtection="1">
      <alignment horizontal="center"/>
    </xf>
    <xf numFmtId="0" fontId="3" fillId="0" borderId="0" xfId="45" applyBorder="1" applyAlignment="1" applyProtection="1">
      <alignment horizontal="center"/>
    </xf>
    <xf numFmtId="0" fontId="36" fillId="0" borderId="0" xfId="31"/>
    <xf numFmtId="0" fontId="19" fillId="0" borderId="0" xfId="36" applyFont="1"/>
    <xf numFmtId="0" fontId="20" fillId="0" borderId="0" xfId="36" applyFont="1"/>
    <xf numFmtId="0" fontId="7" fillId="0" borderId="0" xfId="36"/>
    <xf numFmtId="0" fontId="20" fillId="0" borderId="0" xfId="36" applyFont="1" applyBorder="1"/>
    <xf numFmtId="0" fontId="20" fillId="0" borderId="0" xfId="36" applyFont="1" applyFill="1" applyBorder="1"/>
    <xf numFmtId="0" fontId="20" fillId="0" borderId="16" xfId="36" applyFont="1" applyBorder="1" applyAlignment="1">
      <alignment vertical="center" wrapText="1"/>
    </xf>
    <xf numFmtId="0" fontId="19" fillId="0" borderId="17" xfId="36" applyFont="1" applyFill="1" applyBorder="1" applyAlignment="1">
      <alignment horizontal="center" vertical="center" wrapText="1"/>
    </xf>
    <xf numFmtId="0" fontId="19" fillId="0" borderId="18" xfId="36" applyFont="1" applyFill="1" applyBorder="1" applyAlignment="1">
      <alignment horizontal="center" vertical="center" wrapText="1"/>
    </xf>
    <xf numFmtId="0" fontId="19" fillId="0" borderId="16" xfId="36" applyFont="1" applyFill="1" applyBorder="1" applyAlignment="1">
      <alignment horizontal="center" vertical="center" wrapText="1"/>
    </xf>
    <xf numFmtId="0" fontId="7" fillId="0" borderId="0" xfId="36" applyAlignment="1">
      <alignment wrapText="1"/>
    </xf>
    <xf numFmtId="0" fontId="20" fillId="0" borderId="171" xfId="36" applyFont="1" applyFill="1" applyBorder="1" applyAlignment="1">
      <alignment horizontal="center" vertical="center"/>
    </xf>
    <xf numFmtId="0" fontId="20" fillId="0" borderId="172" xfId="36" applyFont="1" applyFill="1" applyBorder="1" applyAlignment="1">
      <alignment horizontal="center" vertical="center"/>
    </xf>
    <xf numFmtId="0" fontId="20" fillId="0" borderId="173" xfId="36" applyFont="1" applyFill="1" applyBorder="1" applyAlignment="1">
      <alignment horizontal="center" vertical="center"/>
    </xf>
    <xf numFmtId="0" fontId="19" fillId="0" borderId="174" xfId="36" applyFont="1" applyBorder="1" applyAlignment="1">
      <alignment vertical="center"/>
    </xf>
    <xf numFmtId="0" fontId="20" fillId="0" borderId="175" xfId="36" applyFont="1" applyBorder="1" applyAlignment="1">
      <alignment vertical="center"/>
    </xf>
    <xf numFmtId="37" fontId="20" fillId="0" borderId="176" xfId="4" applyNumberFormat="1" applyFont="1" applyFill="1" applyBorder="1" applyAlignment="1">
      <alignment horizontal="center" vertical="center"/>
    </xf>
    <xf numFmtId="37" fontId="20" fillId="0" borderId="177" xfId="4" applyNumberFormat="1" applyFont="1" applyFill="1" applyBorder="1" applyAlignment="1">
      <alignment horizontal="center" vertical="center"/>
    </xf>
    <xf numFmtId="37" fontId="20" fillId="0" borderId="167" xfId="4" applyNumberFormat="1" applyFont="1" applyFill="1" applyBorder="1" applyAlignment="1">
      <alignment horizontal="center" vertical="center"/>
    </xf>
    <xf numFmtId="0" fontId="19" fillId="0" borderId="178" xfId="36" applyFont="1" applyBorder="1" applyAlignment="1">
      <alignment vertical="center"/>
    </xf>
    <xf numFmtId="0" fontId="20" fillId="0" borderId="179" xfId="36" applyFont="1" applyBorder="1" applyAlignment="1">
      <alignment vertical="center"/>
    </xf>
    <xf numFmtId="0" fontId="20" fillId="0" borderId="179" xfId="36" applyFont="1" applyFill="1" applyBorder="1" applyAlignment="1">
      <alignment horizontal="center" vertical="center"/>
    </xf>
    <xf numFmtId="37" fontId="20" fillId="0" borderId="175" xfId="4" applyNumberFormat="1" applyFont="1" applyFill="1" applyBorder="1" applyAlignment="1">
      <alignment horizontal="center" vertical="center"/>
    </xf>
    <xf numFmtId="0" fontId="19" fillId="0" borderId="0" xfId="36" applyFont="1" applyAlignment="1">
      <alignment vertical="center"/>
    </xf>
    <xf numFmtId="0" fontId="20" fillId="0" borderId="0" xfId="36" applyFont="1" applyAlignment="1">
      <alignment vertical="center"/>
    </xf>
    <xf numFmtId="166" fontId="20" fillId="0" borderId="19" xfId="4" applyNumberFormat="1" applyFont="1" applyFill="1" applyBorder="1"/>
    <xf numFmtId="166" fontId="20" fillId="0" borderId="0" xfId="4" applyNumberFormat="1" applyFont="1" applyFill="1"/>
    <xf numFmtId="0" fontId="20" fillId="0" borderId="20" xfId="36" applyFont="1" applyFill="1" applyBorder="1" applyAlignment="1">
      <alignment horizontal="center" vertical="center"/>
    </xf>
    <xf numFmtId="0" fontId="20" fillId="0" borderId="21" xfId="36" applyFont="1" applyFill="1" applyBorder="1" applyAlignment="1">
      <alignment horizontal="center" vertical="center"/>
    </xf>
    <xf numFmtId="37" fontId="21" fillId="0" borderId="22" xfId="49" applyNumberFormat="1" applyFont="1" applyFill="1" applyBorder="1" applyAlignment="1" applyProtection="1">
      <alignment horizontal="center" vertical="center"/>
    </xf>
    <xf numFmtId="37" fontId="21" fillId="0" borderId="23" xfId="49" applyNumberFormat="1" applyFont="1" applyFill="1" applyBorder="1" applyAlignment="1" applyProtection="1">
      <alignment horizontal="center" vertical="center"/>
    </xf>
    <xf numFmtId="5" fontId="22" fillId="0" borderId="24" xfId="49" applyNumberFormat="1" applyFont="1" applyBorder="1" applyAlignment="1">
      <alignment vertical="center"/>
    </xf>
    <xf numFmtId="5" fontId="22" fillId="0" borderId="17" xfId="49" applyNumberFormat="1" applyFont="1" applyFill="1" applyBorder="1" applyAlignment="1" applyProtection="1">
      <alignment horizontal="center" vertical="center"/>
    </xf>
    <xf numFmtId="5" fontId="22" fillId="0" borderId="16" xfId="49" applyNumberFormat="1" applyFont="1" applyFill="1" applyBorder="1" applyAlignment="1" applyProtection="1">
      <alignment horizontal="center" vertical="center"/>
    </xf>
    <xf numFmtId="37" fontId="21" fillId="0" borderId="25" xfId="49" applyNumberFormat="1" applyFont="1" applyBorder="1" applyAlignment="1" applyProtection="1">
      <alignment vertical="center"/>
    </xf>
    <xf numFmtId="37" fontId="21" fillId="0" borderId="26" xfId="49" applyNumberFormat="1" applyFont="1" applyFill="1" applyBorder="1" applyAlignment="1" applyProtection="1">
      <alignment horizontal="center" vertical="center"/>
    </xf>
    <xf numFmtId="37" fontId="21" fillId="0" borderId="27" xfId="49" applyNumberFormat="1" applyFont="1" applyBorder="1" applyAlignment="1" applyProtection="1">
      <alignment vertical="center"/>
    </xf>
    <xf numFmtId="37" fontId="21" fillId="0" borderId="28" xfId="49" applyNumberFormat="1" applyFont="1" applyFill="1" applyBorder="1" applyAlignment="1" applyProtection="1">
      <alignment horizontal="center" vertical="center"/>
    </xf>
    <xf numFmtId="5" fontId="22" fillId="0" borderId="29" xfId="49" applyNumberFormat="1" applyFont="1" applyBorder="1" applyAlignment="1">
      <alignment vertical="center"/>
    </xf>
    <xf numFmtId="5" fontId="22" fillId="0" borderId="30" xfId="49" applyNumberFormat="1" applyFont="1" applyFill="1" applyBorder="1" applyAlignment="1" applyProtection="1">
      <alignment horizontal="center" vertical="center"/>
    </xf>
    <xf numFmtId="5" fontId="22" fillId="0" borderId="29" xfId="49" applyNumberFormat="1" applyFont="1" applyFill="1" applyBorder="1" applyAlignment="1" applyProtection="1">
      <alignment horizontal="center" vertical="center"/>
    </xf>
    <xf numFmtId="5" fontId="22" fillId="0" borderId="0" xfId="49" applyNumberFormat="1" applyFont="1" applyBorder="1" applyAlignment="1" applyProtection="1">
      <alignment vertical="center"/>
    </xf>
    <xf numFmtId="5" fontId="23" fillId="0" borderId="0" xfId="49" applyNumberFormat="1" applyFont="1" applyFill="1" applyBorder="1" applyAlignment="1" applyProtection="1">
      <alignment horizontal="center" vertical="center"/>
    </xf>
    <xf numFmtId="5" fontId="21" fillId="0" borderId="0" xfId="49" applyNumberFormat="1" applyFont="1" applyFill="1" applyBorder="1" applyAlignment="1" applyProtection="1">
      <alignment horizontal="center" vertical="center"/>
    </xf>
    <xf numFmtId="0" fontId="20" fillId="0" borderId="0" xfId="36" applyFont="1" applyFill="1" applyAlignment="1">
      <alignment vertical="center"/>
    </xf>
    <xf numFmtId="0" fontId="20" fillId="0" borderId="6" xfId="36" applyFont="1" applyFill="1" applyBorder="1" applyAlignment="1">
      <alignment horizontal="center"/>
    </xf>
    <xf numFmtId="171" fontId="20" fillId="0" borderId="15" xfId="4" applyNumberFormat="1" applyFont="1" applyFill="1" applyBorder="1" applyAlignment="1">
      <alignment horizontal="center" vertical="center"/>
    </xf>
    <xf numFmtId="37" fontId="20" fillId="0" borderId="8" xfId="4" applyNumberFormat="1" applyFont="1" applyFill="1" applyBorder="1" applyAlignment="1">
      <alignment horizontal="center" vertical="center"/>
    </xf>
    <xf numFmtId="0" fontId="7" fillId="0" borderId="0" xfId="36" applyFill="1"/>
    <xf numFmtId="37" fontId="22" fillId="0" borderId="31" xfId="49" applyNumberFormat="1" applyFont="1" applyBorder="1" applyProtection="1"/>
    <xf numFmtId="37" fontId="21" fillId="0" borderId="3" xfId="49" applyNumberFormat="1" applyFont="1" applyBorder="1" applyProtection="1"/>
    <xf numFmtId="37" fontId="21" fillId="0" borderId="4" xfId="49" applyNumberFormat="1" applyFont="1" applyFill="1" applyBorder="1" applyAlignment="1" applyProtection="1">
      <alignment horizontal="center"/>
    </xf>
    <xf numFmtId="37" fontId="21" fillId="0" borderId="32" xfId="49" applyNumberFormat="1" applyFont="1" applyFill="1" applyBorder="1" applyAlignment="1" applyProtection="1">
      <alignment horizontal="center"/>
    </xf>
    <xf numFmtId="37" fontId="3" fillId="0" borderId="0" xfId="49" applyNumberFormat="1"/>
    <xf numFmtId="37" fontId="21" fillId="0" borderId="33" xfId="49" applyNumberFormat="1" applyFont="1" applyFill="1" applyBorder="1" applyAlignment="1" applyProtection="1">
      <alignment horizontal="center"/>
    </xf>
    <xf numFmtId="37" fontId="3" fillId="0" borderId="0" xfId="49" applyNumberFormat="1" applyFill="1"/>
    <xf numFmtId="0" fontId="20" fillId="0" borderId="10" xfId="36" applyFont="1" applyFill="1" applyBorder="1" applyAlignment="1">
      <alignment horizontal="center"/>
    </xf>
    <xf numFmtId="171" fontId="20" fillId="0" borderId="14" xfId="4" applyNumberFormat="1" applyFont="1" applyFill="1" applyBorder="1" applyAlignment="1">
      <alignment horizontal="center" vertical="center"/>
    </xf>
    <xf numFmtId="37" fontId="20" fillId="0" borderId="12" xfId="4" applyNumberFormat="1" applyFont="1" applyFill="1" applyBorder="1" applyAlignment="1">
      <alignment horizontal="center" vertical="center"/>
    </xf>
    <xf numFmtId="0" fontId="20" fillId="0" borderId="34" xfId="36" applyFont="1" applyFill="1" applyBorder="1" applyAlignment="1">
      <alignment horizontal="center"/>
    </xf>
    <xf numFmtId="171" fontId="20" fillId="0" borderId="35" xfId="4" applyNumberFormat="1" applyFont="1" applyFill="1" applyBorder="1" applyAlignment="1">
      <alignment horizontal="center" vertical="center"/>
    </xf>
    <xf numFmtId="37" fontId="20" fillId="0" borderId="36" xfId="4" applyNumberFormat="1" applyFont="1" applyFill="1" applyBorder="1" applyAlignment="1">
      <alignment horizontal="center" vertical="center"/>
    </xf>
    <xf numFmtId="0" fontId="19" fillId="0" borderId="37" xfId="36" applyFont="1" applyBorder="1" applyAlignment="1">
      <alignment vertical="center"/>
    </xf>
    <xf numFmtId="3" fontId="3" fillId="0" borderId="180" xfId="11" applyNumberFormat="1" applyFont="1" applyFill="1" applyBorder="1" applyAlignment="1" applyProtection="1">
      <alignment horizontal="center" vertical="top" wrapText="1"/>
    </xf>
    <xf numFmtId="3" fontId="3" fillId="0" borderId="182" xfId="11" applyNumberFormat="1" applyFont="1" applyFill="1" applyBorder="1" applyAlignment="1" applyProtection="1">
      <alignment horizontal="center" vertical="top" wrapText="1"/>
    </xf>
    <xf numFmtId="3" fontId="3" fillId="0" borderId="188" xfId="11" applyNumberFormat="1" applyFont="1" applyFill="1" applyBorder="1" applyAlignment="1" applyProtection="1">
      <alignment horizontal="center" vertical="top" wrapText="1"/>
    </xf>
    <xf numFmtId="0" fontId="27" fillId="0" borderId="0" xfId="32" applyFont="1"/>
    <xf numFmtId="0" fontId="25" fillId="0" borderId="0" xfId="32"/>
    <xf numFmtId="0" fontId="20" fillId="0" borderId="0" xfId="32" applyFont="1" applyBorder="1"/>
    <xf numFmtId="0" fontId="20" fillId="0" borderId="0" xfId="32" applyFont="1" applyBorder="1" applyAlignment="1">
      <alignment horizontal="left"/>
    </xf>
    <xf numFmtId="0" fontId="20" fillId="0" borderId="0" xfId="32" applyFont="1" applyBorder="1" applyAlignment="1"/>
    <xf numFmtId="0" fontId="28" fillId="0" borderId="4" xfId="32" applyFont="1" applyBorder="1" applyAlignment="1">
      <alignment horizontal="center" vertical="center" wrapText="1"/>
    </xf>
    <xf numFmtId="0" fontId="20" fillId="0" borderId="4" xfId="32" applyFont="1" applyBorder="1" applyAlignment="1">
      <alignment horizontal="center" vertical="center" wrapText="1"/>
    </xf>
    <xf numFmtId="0" fontId="20" fillId="0" borderId="0" xfId="32" applyFont="1"/>
    <xf numFmtId="0" fontId="20" fillId="0" borderId="0" xfId="32" applyFont="1" applyAlignment="1">
      <alignment horizontal="left"/>
    </xf>
    <xf numFmtId="0" fontId="20" fillId="0" borderId="38" xfId="32" applyFont="1" applyBorder="1"/>
    <xf numFmtId="0" fontId="20" fillId="0" borderId="29" xfId="32" applyFont="1" applyBorder="1"/>
    <xf numFmtId="0" fontId="21" fillId="0" borderId="21" xfId="49" applyFont="1" applyBorder="1" applyAlignment="1" applyProtection="1">
      <alignment vertical="center"/>
    </xf>
    <xf numFmtId="5" fontId="22" fillId="0" borderId="39" xfId="49" applyNumberFormat="1" applyFont="1" applyBorder="1" applyAlignment="1">
      <alignment vertical="center"/>
    </xf>
    <xf numFmtId="166" fontId="20" fillId="0" borderId="41" xfId="4" applyNumberFormat="1" applyFont="1" applyFill="1" applyBorder="1" applyAlignment="1">
      <alignment vertical="top" wrapText="1"/>
    </xf>
    <xf numFmtId="166" fontId="20" fillId="0" borderId="32" xfId="4" applyNumberFormat="1" applyFont="1" applyFill="1" applyBorder="1" applyAlignment="1">
      <alignment vertical="top" wrapText="1"/>
    </xf>
    <xf numFmtId="166" fontId="20" fillId="0" borderId="4" xfId="4" applyNumberFormat="1" applyFont="1" applyFill="1" applyBorder="1" applyAlignment="1">
      <alignment vertical="top" wrapText="1"/>
    </xf>
    <xf numFmtId="0" fontId="7" fillId="0" borderId="0" xfId="36" applyAlignment="1">
      <alignment vertical="top"/>
    </xf>
    <xf numFmtId="166" fontId="20" fillId="0" borderId="0" xfId="4" applyNumberFormat="1" applyFont="1" applyFill="1" applyBorder="1" applyAlignment="1">
      <alignment vertical="top" wrapText="1"/>
    </xf>
    <xf numFmtId="37" fontId="21" fillId="0" borderId="41" xfId="49" applyNumberFormat="1" applyFont="1" applyFill="1" applyBorder="1" applyAlignment="1" applyProtection="1">
      <alignment horizontal="center"/>
    </xf>
    <xf numFmtId="37" fontId="39" fillId="0" borderId="189" xfId="49" applyNumberFormat="1" applyFont="1" applyFill="1" applyBorder="1" applyProtection="1"/>
    <xf numFmtId="37" fontId="40" fillId="0" borderId="189" xfId="49" applyNumberFormat="1" applyFont="1" applyFill="1" applyBorder="1" applyProtection="1"/>
    <xf numFmtId="0" fontId="21" fillId="0" borderId="192" xfId="49" applyFont="1" applyBorder="1" applyAlignment="1" applyProtection="1">
      <alignment vertical="center"/>
    </xf>
    <xf numFmtId="37" fontId="21" fillId="0" borderId="176" xfId="49" applyNumberFormat="1" applyFont="1" applyFill="1" applyBorder="1" applyAlignment="1" applyProtection="1">
      <alignment horizontal="center" vertical="center"/>
    </xf>
    <xf numFmtId="37" fontId="21" fillId="0" borderId="167" xfId="49" applyNumberFormat="1" applyFont="1" applyFill="1" applyBorder="1" applyAlignment="1" applyProtection="1">
      <alignment horizontal="center" vertical="center"/>
    </xf>
    <xf numFmtId="0" fontId="20" fillId="0" borderId="193" xfId="36" applyFont="1" applyBorder="1"/>
    <xf numFmtId="37" fontId="21" fillId="0" borderId="194" xfId="49" applyNumberFormat="1" applyFont="1" applyFill="1" applyBorder="1" applyAlignment="1" applyProtection="1">
      <alignment horizontal="center" vertical="center"/>
    </xf>
    <xf numFmtId="37" fontId="21" fillId="0" borderId="195" xfId="49" applyNumberFormat="1" applyFont="1" applyFill="1" applyBorder="1" applyAlignment="1" applyProtection="1">
      <alignment horizontal="center" vertical="center"/>
    </xf>
    <xf numFmtId="0" fontId="21" fillId="0" borderId="174" xfId="49" applyFont="1" applyBorder="1" applyAlignment="1" applyProtection="1">
      <alignment vertical="center"/>
    </xf>
    <xf numFmtId="5" fontId="22" fillId="0" borderId="16" xfId="49" applyNumberFormat="1" applyFont="1" applyBorder="1" applyAlignment="1" applyProtection="1">
      <alignment vertical="center"/>
    </xf>
    <xf numFmtId="5" fontId="22" fillId="0" borderId="43" xfId="49" applyNumberFormat="1" applyFont="1" applyBorder="1" applyAlignment="1" applyProtection="1">
      <alignment vertical="center"/>
    </xf>
    <xf numFmtId="0" fontId="22" fillId="0" borderId="21" xfId="49" applyFont="1" applyBorder="1" applyAlignment="1" applyProtection="1">
      <alignment vertical="center"/>
    </xf>
    <xf numFmtId="37" fontId="22" fillId="0" borderId="44" xfId="49" applyNumberFormat="1" applyFont="1" applyBorder="1" applyAlignment="1" applyProtection="1">
      <alignment vertical="center"/>
    </xf>
    <xf numFmtId="37" fontId="22" fillId="0" borderId="45" xfId="49" applyNumberFormat="1" applyFont="1" applyBorder="1" applyAlignment="1" applyProtection="1">
      <alignment vertical="center"/>
    </xf>
    <xf numFmtId="5" fontId="22" fillId="0" borderId="29" xfId="49" applyNumberFormat="1" applyFont="1" applyBorder="1" applyAlignment="1" applyProtection="1">
      <alignment vertical="center"/>
    </xf>
    <xf numFmtId="37" fontId="22" fillId="0" borderId="0" xfId="49" applyNumberFormat="1" applyFont="1" applyBorder="1" applyAlignment="1" applyProtection="1">
      <alignment vertical="center"/>
    </xf>
    <xf numFmtId="37" fontId="22" fillId="0" borderId="0" xfId="49" applyNumberFormat="1" applyFont="1" applyFill="1" applyBorder="1" applyAlignment="1" applyProtection="1">
      <alignment horizontal="left" vertical="center"/>
    </xf>
    <xf numFmtId="0" fontId="3" fillId="0" borderId="0" xfId="36" applyFont="1"/>
    <xf numFmtId="166" fontId="3" fillId="0" borderId="0" xfId="4" applyNumberFormat="1" applyFont="1" applyFill="1"/>
    <xf numFmtId="166" fontId="3" fillId="0" borderId="0" xfId="4" applyNumberFormat="1" applyFont="1"/>
    <xf numFmtId="0" fontId="3" fillId="0" borderId="0" xfId="36" applyFont="1" applyFill="1"/>
    <xf numFmtId="166" fontId="20" fillId="0" borderId="196" xfId="4" applyNumberFormat="1" applyFont="1" applyFill="1" applyBorder="1" applyAlignment="1">
      <alignment vertical="top" wrapText="1"/>
    </xf>
    <xf numFmtId="166" fontId="20" fillId="0" borderId="197" xfId="4" applyNumberFormat="1" applyFont="1" applyFill="1" applyBorder="1" applyAlignment="1">
      <alignment vertical="top" wrapText="1"/>
    </xf>
    <xf numFmtId="166" fontId="20" fillId="0" borderId="198" xfId="4" applyNumberFormat="1" applyFont="1" applyFill="1" applyBorder="1" applyAlignment="1">
      <alignment vertical="top" wrapText="1"/>
    </xf>
    <xf numFmtId="166" fontId="20" fillId="0" borderId="199" xfId="4" applyNumberFormat="1" applyFont="1" applyFill="1" applyBorder="1" applyAlignment="1">
      <alignment vertical="top" wrapText="1"/>
    </xf>
    <xf numFmtId="166" fontId="20" fillId="0" borderId="200" xfId="4" applyNumberFormat="1" applyFont="1" applyFill="1" applyBorder="1" applyAlignment="1">
      <alignment vertical="top" wrapText="1"/>
    </xf>
    <xf numFmtId="166" fontId="20" fillId="0" borderId="168" xfId="4" applyNumberFormat="1" applyFont="1" applyFill="1" applyBorder="1" applyAlignment="1">
      <alignment vertical="top" wrapText="1"/>
    </xf>
    <xf numFmtId="37" fontId="40" fillId="0" borderId="192" xfId="49" applyNumberFormat="1" applyFont="1" applyBorder="1" applyAlignment="1" applyProtection="1">
      <alignment vertical="center"/>
    </xf>
    <xf numFmtId="37" fontId="41" fillId="0" borderId="192" xfId="49" applyNumberFormat="1" applyFont="1" applyBorder="1" applyAlignment="1" applyProtection="1">
      <alignment vertical="center"/>
    </xf>
    <xf numFmtId="37" fontId="41" fillId="0" borderId="191" xfId="49" applyNumberFormat="1" applyFont="1" applyBorder="1" applyAlignment="1" applyProtection="1">
      <alignment vertical="center"/>
    </xf>
    <xf numFmtId="37" fontId="41" fillId="0" borderId="189" xfId="49" applyNumberFormat="1" applyFont="1" applyFill="1" applyBorder="1" applyProtection="1"/>
    <xf numFmtId="37" fontId="42" fillId="0" borderId="0" xfId="49" applyNumberFormat="1" applyFont="1" applyAlignment="1">
      <alignment vertical="center"/>
    </xf>
    <xf numFmtId="0" fontId="42" fillId="0" borderId="0" xfId="4" applyNumberFormat="1" applyFont="1" applyFill="1" applyBorder="1" applyAlignment="1" applyProtection="1">
      <alignment horizontal="center" vertical="center"/>
    </xf>
    <xf numFmtId="37" fontId="41" fillId="0" borderId="201" xfId="49" applyNumberFormat="1" applyFont="1" applyBorder="1" applyAlignment="1" applyProtection="1">
      <alignment vertical="center"/>
    </xf>
    <xf numFmtId="37" fontId="22" fillId="0" borderId="202" xfId="49" applyNumberFormat="1" applyFont="1" applyBorder="1" applyAlignment="1" applyProtection="1">
      <alignment vertical="center"/>
    </xf>
    <xf numFmtId="0" fontId="22" fillId="0" borderId="46" xfId="49" applyFont="1" applyBorder="1" applyAlignment="1" applyProtection="1">
      <alignment vertical="center"/>
    </xf>
    <xf numFmtId="0" fontId="21" fillId="0" borderId="47" xfId="49" applyFont="1" applyBorder="1" applyAlignment="1" applyProtection="1">
      <alignment vertical="center"/>
    </xf>
    <xf numFmtId="0" fontId="20" fillId="0" borderId="48" xfId="36" applyFont="1" applyFill="1" applyBorder="1" applyAlignment="1">
      <alignment horizontal="center" vertical="center"/>
    </xf>
    <xf numFmtId="0" fontId="20" fillId="0" borderId="49" xfId="36" applyFont="1" applyFill="1" applyBorder="1" applyAlignment="1">
      <alignment horizontal="center" vertical="center"/>
    </xf>
    <xf numFmtId="37" fontId="22" fillId="0" borderId="203" xfId="49" applyNumberFormat="1" applyFont="1" applyBorder="1" applyAlignment="1" applyProtection="1">
      <alignment vertical="center"/>
    </xf>
    <xf numFmtId="37" fontId="21" fillId="0" borderId="204" xfId="49" applyNumberFormat="1" applyFont="1" applyFill="1" applyBorder="1" applyAlignment="1" applyProtection="1">
      <alignment horizontal="center" vertical="center"/>
    </xf>
    <xf numFmtId="37" fontId="21" fillId="0" borderId="205" xfId="49" applyNumberFormat="1" applyFont="1" applyFill="1" applyBorder="1" applyAlignment="1" applyProtection="1">
      <alignment horizontal="center" vertical="center"/>
    </xf>
    <xf numFmtId="37" fontId="39" fillId="0" borderId="192" xfId="49" applyNumberFormat="1" applyFont="1" applyFill="1" applyBorder="1" applyProtection="1"/>
    <xf numFmtId="0" fontId="20" fillId="0" borderId="0" xfId="36" applyFont="1" applyAlignment="1">
      <alignment horizontal="center"/>
    </xf>
    <xf numFmtId="0" fontId="3" fillId="0" borderId="50" xfId="42" applyFont="1" applyBorder="1" applyProtection="1"/>
    <xf numFmtId="37" fontId="22" fillId="0" borderId="169" xfId="49" applyNumberFormat="1" applyFont="1" applyBorder="1" applyAlignment="1" applyProtection="1">
      <alignment vertical="center"/>
    </xf>
    <xf numFmtId="37" fontId="21" fillId="0" borderId="206" xfId="49" applyNumberFormat="1" applyFont="1" applyBorder="1" applyAlignment="1" applyProtection="1">
      <alignment vertical="center"/>
    </xf>
    <xf numFmtId="37" fontId="20" fillId="0" borderId="204" xfId="36" applyNumberFormat="1" applyFont="1" applyFill="1" applyBorder="1" applyAlignment="1">
      <alignment horizontal="center" vertical="center"/>
    </xf>
    <xf numFmtId="37" fontId="20" fillId="0" borderId="205" xfId="36" applyNumberFormat="1" applyFont="1" applyFill="1" applyBorder="1" applyAlignment="1">
      <alignment horizontal="center" vertical="center"/>
    </xf>
    <xf numFmtId="37" fontId="7" fillId="0" borderId="0" xfId="36" applyNumberFormat="1" applyFill="1"/>
    <xf numFmtId="37" fontId="7" fillId="0" borderId="0" xfId="36" applyNumberFormat="1"/>
    <xf numFmtId="37" fontId="21" fillId="0" borderId="43" xfId="49" applyNumberFormat="1" applyFont="1" applyFill="1" applyBorder="1" applyAlignment="1" applyProtection="1">
      <alignment horizontal="center" vertical="center"/>
    </xf>
    <xf numFmtId="172" fontId="42" fillId="0" borderId="0" xfId="4" applyNumberFormat="1" applyFont="1" applyFill="1" applyBorder="1" applyAlignment="1" applyProtection="1">
      <alignment horizontal="center" vertical="center"/>
    </xf>
    <xf numFmtId="0" fontId="4" fillId="0" borderId="31" xfId="42" applyFont="1" applyBorder="1" applyAlignment="1" applyProtection="1">
      <alignment vertical="top"/>
    </xf>
    <xf numFmtId="0" fontId="3" fillId="0" borderId="51" xfId="42" applyFont="1" applyBorder="1" applyAlignment="1" applyProtection="1">
      <alignment vertical="top"/>
    </xf>
    <xf numFmtId="37" fontId="3" fillId="0" borderId="52" xfId="42" applyNumberFormat="1" applyFont="1" applyFill="1" applyBorder="1" applyAlignment="1" applyProtection="1">
      <alignment horizontal="center" vertical="top" wrapText="1"/>
    </xf>
    <xf numFmtId="37" fontId="3" fillId="0" borderId="51" xfId="42" applyNumberFormat="1" applyFont="1" applyFill="1" applyBorder="1" applyAlignment="1" applyProtection="1">
      <alignment horizontal="center" vertical="top" wrapText="1"/>
    </xf>
    <xf numFmtId="37" fontId="3" fillId="0" borderId="32" xfId="42" applyNumberFormat="1" applyFont="1" applyFill="1" applyBorder="1" applyAlignment="1" applyProtection="1">
      <alignment horizontal="center" vertical="top" wrapText="1"/>
    </xf>
    <xf numFmtId="0" fontId="3" fillId="0" borderId="0" xfId="42" applyAlignment="1">
      <alignment vertical="top"/>
    </xf>
    <xf numFmtId="0" fontId="4" fillId="0" borderId="0" xfId="42" applyFont="1" applyProtection="1"/>
    <xf numFmtId="0" fontId="3" fillId="0" borderId="0" xfId="42" applyFont="1" applyProtection="1"/>
    <xf numFmtId="0" fontId="4" fillId="0" borderId="0" xfId="42" applyFont="1" applyFill="1" applyAlignment="1" applyProtection="1">
      <alignment horizontal="center" vertical="top" wrapText="1"/>
    </xf>
    <xf numFmtId="0" fontId="3" fillId="0" borderId="0" xfId="42"/>
    <xf numFmtId="0" fontId="3" fillId="0" borderId="53" xfId="42" applyFont="1" applyBorder="1" applyProtection="1"/>
    <xf numFmtId="37" fontId="3" fillId="0" borderId="54" xfId="42" applyNumberFormat="1" applyFont="1" applyFill="1" applyBorder="1" applyAlignment="1" applyProtection="1">
      <alignment horizontal="center" vertical="top" wrapText="1"/>
    </xf>
    <xf numFmtId="37" fontId="3" fillId="0" borderId="53" xfId="42" applyNumberFormat="1" applyFont="1" applyFill="1" applyBorder="1" applyAlignment="1" applyProtection="1">
      <alignment horizontal="center" vertical="top" wrapText="1"/>
    </xf>
    <xf numFmtId="37" fontId="3" fillId="0" borderId="55" xfId="42" applyNumberFormat="1" applyFont="1" applyFill="1" applyBorder="1" applyAlignment="1" applyProtection="1">
      <alignment horizontal="center" vertical="top" wrapText="1"/>
    </xf>
    <xf numFmtId="0" fontId="3" fillId="0" borderId="45" xfId="42" applyFont="1" applyBorder="1" applyProtection="1"/>
    <xf numFmtId="0" fontId="3" fillId="0" borderId="56" xfId="42" applyFont="1" applyBorder="1" applyProtection="1"/>
    <xf numFmtId="37" fontId="3" fillId="0" borderId="57" xfId="42" applyNumberFormat="1" applyFont="1" applyFill="1" applyBorder="1" applyAlignment="1" applyProtection="1">
      <alignment horizontal="center" vertical="top" wrapText="1"/>
    </xf>
    <xf numFmtId="37" fontId="3" fillId="0" borderId="56" xfId="42" applyNumberFormat="1" applyFont="1" applyFill="1" applyBorder="1" applyAlignment="1" applyProtection="1">
      <alignment horizontal="center" vertical="top" wrapText="1"/>
    </xf>
    <xf numFmtId="37" fontId="3" fillId="0" borderId="27" xfId="42" applyNumberFormat="1" applyFont="1" applyFill="1" applyBorder="1" applyAlignment="1" applyProtection="1">
      <alignment horizontal="center" vertical="top" wrapText="1"/>
    </xf>
    <xf numFmtId="0" fontId="3" fillId="0" borderId="58" xfId="42" applyFont="1" applyBorder="1" applyProtection="1"/>
    <xf numFmtId="0" fontId="3" fillId="0" borderId="59" xfId="42" applyFont="1" applyBorder="1" applyProtection="1"/>
    <xf numFmtId="37" fontId="4" fillId="0" borderId="60" xfId="42" applyNumberFormat="1" applyFont="1" applyFill="1" applyBorder="1" applyAlignment="1" applyProtection="1">
      <alignment horizontal="center" vertical="top" wrapText="1"/>
    </xf>
    <xf numFmtId="37" fontId="3" fillId="0" borderId="59" xfId="42" applyNumberFormat="1" applyFont="1" applyFill="1" applyBorder="1" applyAlignment="1" applyProtection="1">
      <alignment horizontal="center" vertical="top" wrapText="1"/>
    </xf>
    <xf numFmtId="37" fontId="3" fillId="0" borderId="61" xfId="42" applyNumberFormat="1" applyFont="1" applyFill="1" applyBorder="1" applyAlignment="1" applyProtection="1">
      <alignment horizontal="center" vertical="top" wrapText="1"/>
    </xf>
    <xf numFmtId="0" fontId="4" fillId="0" borderId="208" xfId="42" applyFont="1" applyBorder="1" applyProtection="1"/>
    <xf numFmtId="0" fontId="3" fillId="0" borderId="209" xfId="42" applyFont="1" applyBorder="1" applyProtection="1"/>
    <xf numFmtId="37" fontId="3" fillId="0" borderId="209" xfId="42" applyNumberFormat="1" applyFont="1" applyFill="1" applyBorder="1" applyAlignment="1" applyProtection="1">
      <alignment horizontal="center" vertical="top" wrapText="1"/>
    </xf>
    <xf numFmtId="0" fontId="3" fillId="0" borderId="211" xfId="42" applyFont="1" applyBorder="1" applyProtection="1"/>
    <xf numFmtId="0" fontId="3" fillId="0" borderId="212" xfId="42" applyFont="1" applyBorder="1" applyProtection="1"/>
    <xf numFmtId="37" fontId="3" fillId="0" borderId="212" xfId="42" applyNumberFormat="1" applyFont="1" applyFill="1" applyBorder="1" applyAlignment="1" applyProtection="1">
      <alignment horizontal="center" vertical="top" wrapText="1"/>
    </xf>
    <xf numFmtId="0" fontId="3" fillId="0" borderId="213" xfId="42" applyFont="1" applyBorder="1" applyProtection="1"/>
    <xf numFmtId="0" fontId="3" fillId="0" borderId="214" xfId="42" applyFont="1" applyBorder="1" applyProtection="1"/>
    <xf numFmtId="37" fontId="3" fillId="0" borderId="214" xfId="42" applyNumberFormat="1" applyFont="1" applyFill="1" applyBorder="1" applyAlignment="1" applyProtection="1">
      <alignment horizontal="center" vertical="top" wrapText="1"/>
    </xf>
    <xf numFmtId="37" fontId="3" fillId="0" borderId="197" xfId="42" applyNumberFormat="1" applyFont="1" applyFill="1" applyBorder="1" applyAlignment="1" applyProtection="1">
      <alignment horizontal="center" vertical="top" wrapText="1"/>
    </xf>
    <xf numFmtId="0" fontId="3" fillId="0" borderId="174" xfId="42" applyFont="1" applyBorder="1" applyProtection="1"/>
    <xf numFmtId="0" fontId="3" fillId="0" borderId="190" xfId="42" applyFont="1" applyBorder="1" applyProtection="1"/>
    <xf numFmtId="0" fontId="3" fillId="0" borderId="208" xfId="42" applyFont="1" applyBorder="1" applyProtection="1"/>
    <xf numFmtId="0" fontId="3" fillId="0" borderId="216" xfId="42" applyFont="1" applyBorder="1" applyProtection="1"/>
    <xf numFmtId="0" fontId="3" fillId="0" borderId="217" xfId="42" applyFont="1" applyBorder="1" applyProtection="1"/>
    <xf numFmtId="37" fontId="3" fillId="0" borderId="217" xfId="42" applyNumberFormat="1" applyFont="1" applyFill="1" applyBorder="1" applyAlignment="1" applyProtection="1">
      <alignment horizontal="center" vertical="top" wrapText="1"/>
    </xf>
    <xf numFmtId="37" fontId="3" fillId="0" borderId="218" xfId="42" applyNumberFormat="1" applyFont="1" applyFill="1" applyBorder="1" applyAlignment="1" applyProtection="1">
      <alignment horizontal="center" vertical="top" wrapText="1"/>
    </xf>
    <xf numFmtId="0" fontId="3" fillId="0" borderId="0" xfId="47"/>
    <xf numFmtId="0" fontId="3" fillId="0" borderId="212" xfId="42" applyFont="1" applyFill="1" applyBorder="1" applyAlignment="1" applyProtection="1">
      <alignment vertical="top"/>
    </xf>
    <xf numFmtId="37" fontId="3" fillId="7" borderId="212" xfId="42" applyNumberFormat="1" applyFont="1" applyFill="1" applyBorder="1" applyAlignment="1" applyProtection="1">
      <alignment horizontal="center" vertical="top" wrapText="1"/>
    </xf>
    <xf numFmtId="0" fontId="3" fillId="0" borderId="62" xfId="42" applyFont="1" applyBorder="1" applyProtection="1"/>
    <xf numFmtId="37" fontId="5" fillId="0" borderId="63" xfId="42" applyNumberFormat="1" applyFont="1" applyFill="1" applyBorder="1" applyAlignment="1" applyProtection="1">
      <alignment horizontal="center" vertical="top" wrapText="1"/>
    </xf>
    <xf numFmtId="37" fontId="3" fillId="0" borderId="50" xfId="42" applyNumberFormat="1" applyFont="1" applyFill="1" applyBorder="1" applyAlignment="1" applyProtection="1">
      <alignment horizontal="center" vertical="top" wrapText="1"/>
    </xf>
    <xf numFmtId="0" fontId="3" fillId="0" borderId="64" xfId="42" applyFont="1" applyBorder="1" applyProtection="1"/>
    <xf numFmtId="0" fontId="3" fillId="0" borderId="212" xfId="42" applyFont="1" applyFill="1" applyBorder="1" applyProtection="1"/>
    <xf numFmtId="0" fontId="3" fillId="0" borderId="214" xfId="42" applyFont="1" applyFill="1" applyBorder="1" applyProtection="1"/>
    <xf numFmtId="0" fontId="3" fillId="0" borderId="66" xfId="42" applyFont="1" applyBorder="1" applyProtection="1"/>
    <xf numFmtId="0" fontId="3" fillId="0" borderId="72" xfId="42" applyFont="1" applyBorder="1" applyProtection="1"/>
    <xf numFmtId="0" fontId="3" fillId="0" borderId="73" xfId="42" applyFont="1" applyBorder="1" applyProtection="1"/>
    <xf numFmtId="0" fontId="3" fillId="0" borderId="74" xfId="42" applyFont="1" applyFill="1" applyBorder="1" applyAlignment="1" applyProtection="1">
      <alignment horizontal="center" vertical="top" wrapText="1"/>
    </xf>
    <xf numFmtId="0" fontId="3" fillId="0" borderId="73" xfId="42" applyFont="1" applyFill="1" applyBorder="1" applyAlignment="1" applyProtection="1">
      <alignment horizontal="center" vertical="top" wrapText="1"/>
    </xf>
    <xf numFmtId="37" fontId="3" fillId="0" borderId="0" xfId="42" applyNumberFormat="1" applyBorder="1" applyAlignment="1" applyProtection="1">
      <alignment horizontal="center"/>
    </xf>
    <xf numFmtId="0" fontId="3" fillId="0" borderId="0" xfId="42" applyBorder="1" applyAlignment="1" applyProtection="1">
      <alignment horizontal="center"/>
    </xf>
    <xf numFmtId="0" fontId="3" fillId="0" borderId="0" xfId="42" applyBorder="1"/>
    <xf numFmtId="37" fontId="3" fillId="0" borderId="68" xfId="42" applyNumberFormat="1" applyFont="1" applyFill="1" applyBorder="1" applyAlignment="1" applyProtection="1">
      <alignment horizontal="center" vertical="top" wrapText="1"/>
    </xf>
    <xf numFmtId="0" fontId="3" fillId="0" borderId="77" xfId="42" applyFont="1" applyBorder="1" applyProtection="1"/>
    <xf numFmtId="0" fontId="3" fillId="0" borderId="51" xfId="42" applyFont="1" applyBorder="1" applyProtection="1"/>
    <xf numFmtId="0" fontId="3" fillId="0" borderId="62" xfId="47" applyFont="1" applyBorder="1" applyAlignment="1" applyProtection="1">
      <alignment vertical="top"/>
    </xf>
    <xf numFmtId="0" fontId="3" fillId="0" borderId="50" xfId="47" applyFont="1" applyBorder="1" applyAlignment="1" applyProtection="1">
      <alignment vertical="top"/>
    </xf>
    <xf numFmtId="0" fontId="3" fillId="0" borderId="63" xfId="47" applyFont="1" applyFill="1" applyBorder="1" applyAlignment="1" applyProtection="1">
      <alignment horizontal="center" vertical="top" wrapText="1"/>
    </xf>
    <xf numFmtId="0" fontId="3" fillId="0" borderId="56" xfId="47" applyFont="1" applyBorder="1" applyAlignment="1" applyProtection="1">
      <alignment vertical="top"/>
    </xf>
    <xf numFmtId="37" fontId="3" fillId="0" borderId="57" xfId="47" applyNumberFormat="1" applyFont="1" applyFill="1" applyBorder="1" applyAlignment="1" applyProtection="1">
      <alignment horizontal="center" vertical="top" wrapText="1"/>
    </xf>
    <xf numFmtId="0" fontId="3" fillId="0" borderId="80" xfId="47" applyFont="1" applyBorder="1" applyAlignment="1" applyProtection="1">
      <alignment vertical="top"/>
    </xf>
    <xf numFmtId="0" fontId="3" fillId="0" borderId="81" xfId="47" applyFont="1" applyBorder="1" applyAlignment="1" applyProtection="1">
      <alignment vertical="top"/>
    </xf>
    <xf numFmtId="37" fontId="3" fillId="0" borderId="82" xfId="47" applyNumberFormat="1" applyFont="1" applyFill="1" applyBorder="1" applyAlignment="1" applyProtection="1">
      <alignment horizontal="center" vertical="top" wrapText="1"/>
    </xf>
    <xf numFmtId="0" fontId="3" fillId="0" borderId="67" xfId="42" applyFont="1" applyBorder="1" applyProtection="1"/>
    <xf numFmtId="0" fontId="3" fillId="0" borderId="68" xfId="42" applyFont="1" applyFill="1" applyBorder="1" applyAlignment="1" applyProtection="1">
      <alignment horizontal="center" vertical="top" wrapText="1"/>
    </xf>
    <xf numFmtId="0" fontId="3" fillId="0" borderId="67" xfId="42" applyFont="1" applyFill="1" applyBorder="1" applyAlignment="1" applyProtection="1">
      <alignment horizontal="center" vertical="top" wrapText="1"/>
    </xf>
    <xf numFmtId="0" fontId="3" fillId="0" borderId="210" xfId="42" applyFont="1" applyFill="1" applyBorder="1" applyAlignment="1" applyProtection="1">
      <alignment horizontal="center" vertical="top" wrapText="1"/>
    </xf>
    <xf numFmtId="0" fontId="3" fillId="0" borderId="209" xfId="42" applyFont="1" applyFill="1" applyBorder="1" applyAlignment="1" applyProtection="1">
      <alignment horizontal="center" vertical="top" wrapText="1"/>
    </xf>
    <xf numFmtId="0" fontId="3" fillId="0" borderId="188" xfId="42" applyFont="1" applyFill="1" applyBorder="1" applyAlignment="1" applyProtection="1">
      <alignment horizontal="center" vertical="top" wrapText="1"/>
    </xf>
    <xf numFmtId="0" fontId="3" fillId="0" borderId="214" xfId="42" applyFont="1" applyFill="1" applyBorder="1" applyAlignment="1" applyProtection="1">
      <alignment horizontal="center" vertical="top" wrapText="1"/>
    </xf>
    <xf numFmtId="0" fontId="3" fillId="0" borderId="182" xfId="42" applyFont="1" applyFill="1" applyBorder="1" applyAlignment="1" applyProtection="1">
      <alignment horizontal="center" vertical="top" wrapText="1"/>
    </xf>
    <xf numFmtId="3" fontId="3" fillId="0" borderId="212" xfId="42" applyNumberFormat="1" applyFont="1" applyFill="1" applyBorder="1" applyAlignment="1" applyProtection="1">
      <alignment horizontal="center" vertical="top" wrapText="1"/>
    </xf>
    <xf numFmtId="0" fontId="3" fillId="0" borderId="185" xfId="42" applyFont="1" applyFill="1" applyBorder="1" applyAlignment="1" applyProtection="1">
      <alignment horizontal="center" vertical="top" wrapText="1"/>
    </xf>
    <xf numFmtId="0" fontId="3" fillId="0" borderId="218" xfId="42" applyFont="1" applyBorder="1" applyProtection="1"/>
    <xf numFmtId="0" fontId="3" fillId="0" borderId="180" xfId="42" applyFont="1" applyFill="1" applyBorder="1" applyAlignment="1" applyProtection="1">
      <alignment horizontal="center" vertical="top" wrapText="1"/>
    </xf>
    <xf numFmtId="0" fontId="3" fillId="0" borderId="83" xfId="42" applyFont="1" applyBorder="1" applyProtection="1"/>
    <xf numFmtId="0" fontId="3" fillId="0" borderId="84" xfId="42" applyFont="1" applyBorder="1" applyProtection="1"/>
    <xf numFmtId="0" fontId="3" fillId="0" borderId="80" xfId="42" applyFont="1" applyBorder="1" applyProtection="1"/>
    <xf numFmtId="0" fontId="3" fillId="0" borderId="81" xfId="42" applyFont="1" applyBorder="1" applyProtection="1"/>
    <xf numFmtId="0" fontId="3" fillId="0" borderId="202" xfId="42" applyFont="1" applyBorder="1" applyProtection="1"/>
    <xf numFmtId="0" fontId="3" fillId="0" borderId="209" xfId="46" applyFont="1" applyFill="1" applyBorder="1" applyAlignment="1" applyProtection="1">
      <alignment vertical="top"/>
    </xf>
    <xf numFmtId="37" fontId="3" fillId="0" borderId="220" xfId="46" applyNumberFormat="1" applyFont="1" applyFill="1" applyBorder="1" applyAlignment="1" applyProtection="1">
      <alignment horizontal="center" vertical="top" wrapText="1"/>
    </xf>
    <xf numFmtId="0" fontId="3" fillId="0" borderId="211" xfId="46" applyFont="1" applyFill="1" applyBorder="1" applyAlignment="1" applyProtection="1">
      <alignment vertical="top"/>
    </xf>
    <xf numFmtId="0" fontId="3" fillId="0" borderId="212" xfId="46" applyFont="1" applyFill="1" applyBorder="1" applyAlignment="1" applyProtection="1">
      <alignment vertical="top"/>
    </xf>
    <xf numFmtId="37" fontId="3" fillId="0" borderId="184" xfId="46" applyNumberFormat="1" applyFont="1" applyFill="1" applyBorder="1" applyAlignment="1" applyProtection="1">
      <alignment horizontal="center" vertical="top" wrapText="1"/>
    </xf>
    <xf numFmtId="0" fontId="3" fillId="0" borderId="216" xfId="46" applyFont="1" applyFill="1" applyBorder="1" applyAlignment="1" applyProtection="1">
      <alignment vertical="top"/>
    </xf>
    <xf numFmtId="0" fontId="3" fillId="0" borderId="217" xfId="46" applyFont="1" applyFill="1" applyBorder="1" applyAlignment="1" applyProtection="1">
      <alignment vertical="top"/>
    </xf>
    <xf numFmtId="37" fontId="3" fillId="0" borderId="187" xfId="46" applyNumberFormat="1" applyFont="1" applyFill="1" applyBorder="1" applyAlignment="1" applyProtection="1">
      <alignment horizontal="center" vertical="top" wrapText="1"/>
    </xf>
    <xf numFmtId="0" fontId="3" fillId="0" borderId="218" xfId="42" applyFont="1" applyFill="1" applyBorder="1" applyAlignment="1" applyProtection="1">
      <alignment horizontal="center" vertical="top" wrapText="1"/>
    </xf>
    <xf numFmtId="0" fontId="3" fillId="0" borderId="212" xfId="42" applyFont="1" applyFill="1" applyBorder="1" applyAlignment="1" applyProtection="1">
      <alignment horizontal="center" vertical="top" wrapText="1"/>
    </xf>
    <xf numFmtId="0" fontId="3" fillId="0" borderId="217" xfId="42" applyFont="1" applyFill="1" applyBorder="1" applyAlignment="1" applyProtection="1">
      <alignment horizontal="center" vertical="top" wrapText="1"/>
    </xf>
    <xf numFmtId="0" fontId="3" fillId="0" borderId="0" xfId="42" applyFont="1" applyAlignment="1" applyProtection="1">
      <alignment horizontal="left"/>
    </xf>
    <xf numFmtId="0" fontId="3" fillId="0" borderId="0" xfId="42" applyFont="1" applyFill="1" applyAlignment="1" applyProtection="1">
      <alignment horizontal="center" vertical="top" wrapText="1"/>
    </xf>
    <xf numFmtId="0" fontId="3" fillId="0" borderId="0" xfId="42" applyFont="1" applyBorder="1" applyProtection="1"/>
    <xf numFmtId="37" fontId="3" fillId="0" borderId="81" xfId="42" applyNumberFormat="1" applyFont="1" applyFill="1" applyBorder="1" applyAlignment="1" applyProtection="1">
      <alignment horizontal="center" vertical="top" wrapText="1"/>
    </xf>
    <xf numFmtId="37" fontId="3" fillId="0" borderId="182" xfId="42" applyNumberFormat="1" applyFont="1" applyFill="1" applyBorder="1" applyAlignment="1" applyProtection="1">
      <alignment horizontal="center" vertical="top" wrapText="1"/>
    </xf>
    <xf numFmtId="37" fontId="3" fillId="0" borderId="188" xfId="42" applyNumberFormat="1" applyFont="1" applyFill="1" applyBorder="1" applyAlignment="1" applyProtection="1">
      <alignment horizontal="center" vertical="top" wrapText="1"/>
    </xf>
    <xf numFmtId="37" fontId="3" fillId="0" borderId="74" xfId="42" applyNumberFormat="1" applyFont="1" applyFill="1" applyBorder="1" applyAlignment="1" applyProtection="1">
      <alignment horizontal="center" vertical="top" wrapText="1"/>
    </xf>
    <xf numFmtId="37" fontId="3" fillId="0" borderId="73" xfId="42" applyNumberFormat="1" applyFont="1" applyFill="1" applyBorder="1" applyAlignment="1" applyProtection="1">
      <alignment horizontal="center" vertical="top" wrapText="1"/>
    </xf>
    <xf numFmtId="0" fontId="4" fillId="0" borderId="222" xfId="42" applyFont="1" applyBorder="1" applyProtection="1"/>
    <xf numFmtId="0" fontId="3" fillId="0" borderId="225" xfId="42" applyFont="1" applyBorder="1" applyProtection="1"/>
    <xf numFmtId="37" fontId="5" fillId="0" borderId="226" xfId="42" applyNumberFormat="1" applyFont="1" applyFill="1" applyBorder="1" applyAlignment="1" applyProtection="1">
      <alignment horizontal="center" vertical="top" wrapText="1"/>
    </xf>
    <xf numFmtId="37" fontId="3" fillId="0" borderId="225" xfId="42" applyNumberFormat="1" applyFont="1" applyFill="1" applyBorder="1" applyAlignment="1" applyProtection="1">
      <alignment horizontal="center" vertical="top" wrapText="1"/>
    </xf>
    <xf numFmtId="37" fontId="3" fillId="0" borderId="84" xfId="42" applyNumberFormat="1" applyFont="1" applyFill="1" applyBorder="1" applyAlignment="1" applyProtection="1">
      <alignment horizontal="center" vertical="top" wrapText="1"/>
    </xf>
    <xf numFmtId="0" fontId="3" fillId="0" borderId="90" xfId="42" applyFont="1" applyBorder="1" applyProtection="1"/>
    <xf numFmtId="0" fontId="3" fillId="0" borderId="91" xfId="42" applyFont="1" applyBorder="1" applyProtection="1"/>
    <xf numFmtId="37" fontId="3" fillId="0" borderId="91" xfId="42" applyNumberFormat="1" applyFont="1" applyFill="1" applyBorder="1" applyAlignment="1" applyProtection="1">
      <alignment horizontal="center" vertical="top" wrapText="1"/>
    </xf>
    <xf numFmtId="37" fontId="3" fillId="0" borderId="82" xfId="42" applyNumberFormat="1" applyFont="1" applyFill="1" applyBorder="1" applyAlignment="1" applyProtection="1">
      <alignment horizontal="center" vertical="top" wrapText="1"/>
    </xf>
    <xf numFmtId="37" fontId="3" fillId="0" borderId="85" xfId="42" applyNumberFormat="1" applyFont="1" applyFill="1" applyBorder="1" applyAlignment="1" applyProtection="1">
      <alignment horizontal="center" vertical="top" wrapText="1"/>
    </xf>
    <xf numFmtId="37" fontId="3" fillId="0" borderId="92" xfId="42" applyNumberFormat="1" applyFont="1" applyFill="1" applyBorder="1" applyAlignment="1" applyProtection="1">
      <alignment horizontal="center" vertical="top" wrapText="1"/>
    </xf>
    <xf numFmtId="37" fontId="3" fillId="0" borderId="96" xfId="42" applyNumberFormat="1" applyFont="1" applyFill="1" applyBorder="1" applyAlignment="1" applyProtection="1">
      <alignment horizontal="center" vertical="top" wrapText="1"/>
    </xf>
    <xf numFmtId="0" fontId="3" fillId="0" borderId="211" xfId="42" applyFont="1" applyBorder="1" applyAlignment="1" applyProtection="1">
      <alignment vertical="top"/>
    </xf>
    <xf numFmtId="0" fontId="3" fillId="0" borderId="212" xfId="42" applyFont="1" applyBorder="1" applyAlignment="1" applyProtection="1">
      <alignment vertical="top"/>
    </xf>
    <xf numFmtId="37" fontId="3" fillId="0" borderId="184" xfId="42" applyNumberFormat="1" applyFont="1" applyFill="1" applyBorder="1" applyAlignment="1" applyProtection="1">
      <alignment horizontal="center" vertical="top" wrapText="1"/>
    </xf>
    <xf numFmtId="0" fontId="3" fillId="0" borderId="212" xfId="47" applyFont="1" applyFill="1" applyBorder="1" applyAlignment="1" applyProtection="1">
      <alignment vertical="top"/>
    </xf>
    <xf numFmtId="37" fontId="3" fillId="0" borderId="183" xfId="47" applyNumberFormat="1" applyFont="1" applyFill="1" applyBorder="1" applyAlignment="1" applyProtection="1">
      <alignment horizontal="center" vertical="top" wrapText="1"/>
    </xf>
    <xf numFmtId="37" fontId="3" fillId="0" borderId="212" xfId="46" applyNumberFormat="1" applyFont="1" applyFill="1" applyBorder="1" applyAlignment="1" applyProtection="1">
      <alignment horizontal="center" vertical="top" wrapText="1"/>
    </xf>
    <xf numFmtId="5" fontId="5" fillId="0" borderId="184" xfId="42" applyNumberFormat="1" applyFont="1" applyFill="1" applyBorder="1" applyAlignment="1" applyProtection="1">
      <alignment horizontal="center" vertical="top" wrapText="1"/>
    </xf>
    <xf numFmtId="37" fontId="3" fillId="0" borderId="185" xfId="42" applyNumberFormat="1" applyFont="1" applyFill="1" applyBorder="1" applyAlignment="1" applyProtection="1">
      <alignment horizontal="center" vertical="top" wrapText="1"/>
    </xf>
    <xf numFmtId="37" fontId="3" fillId="0" borderId="0" xfId="42" applyNumberFormat="1" applyFont="1" applyFill="1" applyAlignment="1" applyProtection="1">
      <alignment horizontal="center" vertical="top" wrapText="1"/>
    </xf>
    <xf numFmtId="0" fontId="3" fillId="0" borderId="99" xfId="42" applyFont="1" applyBorder="1" applyProtection="1"/>
    <xf numFmtId="0" fontId="3" fillId="0" borderId="100" xfId="42" applyFont="1" applyBorder="1" applyProtection="1"/>
    <xf numFmtId="37" fontId="3" fillId="0" borderId="101" xfId="42" applyNumberFormat="1" applyFont="1" applyFill="1" applyBorder="1" applyAlignment="1" applyProtection="1">
      <alignment horizontal="center" vertical="top" wrapText="1"/>
    </xf>
    <xf numFmtId="37" fontId="3" fillId="0" borderId="100" xfId="42" applyNumberFormat="1" applyFont="1" applyFill="1" applyBorder="1" applyAlignment="1" applyProtection="1">
      <alignment horizontal="center" vertical="top" wrapText="1"/>
    </xf>
    <xf numFmtId="37" fontId="3" fillId="0" borderId="224" xfId="42" applyNumberFormat="1" applyFont="1" applyFill="1" applyBorder="1" applyAlignment="1" applyProtection="1">
      <alignment horizontal="center" vertical="top" wrapText="1"/>
    </xf>
    <xf numFmtId="5" fontId="4" fillId="0" borderId="182" xfId="42" applyNumberFormat="1" applyFont="1" applyFill="1" applyBorder="1" applyAlignment="1" applyProtection="1">
      <alignment horizontal="center" vertical="top" wrapText="1"/>
    </xf>
    <xf numFmtId="37" fontId="3" fillId="0" borderId="210" xfId="42" applyNumberFormat="1" applyFont="1" applyFill="1" applyBorder="1" applyAlignment="1" applyProtection="1">
      <alignment horizontal="center" vertical="top" wrapText="1"/>
    </xf>
    <xf numFmtId="37" fontId="3" fillId="0" borderId="60" xfId="42" applyNumberFormat="1" applyFont="1" applyFill="1" applyBorder="1" applyAlignment="1" applyProtection="1">
      <alignment horizontal="center" vertical="top" wrapText="1"/>
    </xf>
    <xf numFmtId="37" fontId="3" fillId="0" borderId="79" xfId="42" applyNumberFormat="1" applyFont="1" applyFill="1" applyBorder="1" applyAlignment="1" applyProtection="1">
      <alignment horizontal="center" vertical="top" wrapText="1"/>
    </xf>
    <xf numFmtId="37" fontId="3" fillId="0" borderId="78" xfId="42" applyNumberFormat="1" applyFont="1" applyFill="1" applyBorder="1" applyAlignment="1" applyProtection="1">
      <alignment horizontal="center" vertical="top" wrapText="1"/>
    </xf>
    <xf numFmtId="37" fontId="3" fillId="0" borderId="180" xfId="42" applyNumberFormat="1" applyFont="1" applyFill="1" applyBorder="1" applyAlignment="1" applyProtection="1">
      <alignment horizontal="center" vertical="top" wrapText="1"/>
    </xf>
    <xf numFmtId="37" fontId="3" fillId="0" borderId="182" xfId="47" applyNumberFormat="1" applyFont="1" applyFill="1" applyBorder="1" applyAlignment="1" applyProtection="1">
      <alignment horizontal="center" vertical="top" wrapText="1"/>
    </xf>
    <xf numFmtId="37" fontId="3" fillId="0" borderId="212" xfId="47" applyNumberFormat="1" applyFont="1" applyFill="1" applyBorder="1" applyAlignment="1" applyProtection="1">
      <alignment horizontal="center" vertical="top" wrapText="1"/>
    </xf>
    <xf numFmtId="37" fontId="3" fillId="0" borderId="185" xfId="47" applyNumberFormat="1" applyFont="1" applyFill="1" applyBorder="1" applyAlignment="1" applyProtection="1">
      <alignment horizontal="center" vertical="top" wrapText="1"/>
    </xf>
    <xf numFmtId="0" fontId="4" fillId="0" borderId="0" xfId="42" applyFont="1" applyFill="1" applyBorder="1" applyProtection="1"/>
    <xf numFmtId="0" fontId="3" fillId="0" borderId="0" xfId="42" applyFont="1" applyFill="1" applyBorder="1" applyProtection="1"/>
    <xf numFmtId="0" fontId="3" fillId="0" borderId="203" xfId="42" applyFont="1" applyFill="1" applyBorder="1" applyAlignment="1" applyProtection="1">
      <alignment vertical="top"/>
    </xf>
    <xf numFmtId="0" fontId="3" fillId="0" borderId="228" xfId="42" applyFont="1" applyFill="1" applyBorder="1" applyAlignment="1" applyProtection="1">
      <alignment vertical="top"/>
    </xf>
    <xf numFmtId="165" fontId="3" fillId="0" borderId="229" xfId="11" applyNumberFormat="1" applyFont="1" applyFill="1" applyBorder="1" applyAlignment="1" applyProtection="1">
      <alignment horizontal="center" vertical="top" wrapText="1"/>
    </xf>
    <xf numFmtId="165" fontId="3" fillId="0" borderId="230" xfId="11" applyNumberFormat="1" applyFont="1" applyFill="1" applyBorder="1" applyAlignment="1" applyProtection="1">
      <alignment horizontal="center" vertical="top" wrapText="1"/>
    </xf>
    <xf numFmtId="37" fontId="3" fillId="7" borderId="228" xfId="42" applyNumberFormat="1" applyFont="1" applyFill="1" applyBorder="1" applyAlignment="1" applyProtection="1">
      <alignment horizontal="center" vertical="top" wrapText="1"/>
    </xf>
    <xf numFmtId="37" fontId="3" fillId="0" borderId="228" xfId="42" applyNumberFormat="1" applyFont="1" applyFill="1" applyBorder="1" applyAlignment="1" applyProtection="1">
      <alignment horizontal="center" vertical="top" wrapText="1"/>
    </xf>
    <xf numFmtId="37" fontId="3" fillId="0" borderId="231" xfId="42" applyNumberFormat="1" applyFont="1" applyFill="1" applyBorder="1" applyAlignment="1" applyProtection="1">
      <alignment horizontal="center" vertical="top" wrapText="1"/>
    </xf>
    <xf numFmtId="37" fontId="3" fillId="0" borderId="227" xfId="3" applyNumberFormat="1" applyFont="1" applyFill="1" applyBorder="1" applyAlignment="1" applyProtection="1">
      <alignment horizontal="center" vertical="top" wrapText="1"/>
    </xf>
    <xf numFmtId="37" fontId="3" fillId="0" borderId="183" xfId="3" applyNumberFormat="1" applyFont="1" applyFill="1" applyBorder="1" applyAlignment="1" applyProtection="1">
      <alignment horizontal="center" vertical="top" wrapText="1"/>
    </xf>
    <xf numFmtId="37" fontId="3" fillId="0" borderId="184" xfId="3" applyNumberFormat="1" applyFont="1" applyFill="1" applyBorder="1" applyAlignment="1" applyProtection="1">
      <alignment horizontal="center" vertical="top" wrapText="1"/>
    </xf>
    <xf numFmtId="0" fontId="3" fillId="0" borderId="238" xfId="42" applyFont="1" applyBorder="1" applyAlignment="1" applyProtection="1">
      <alignment vertical="top"/>
    </xf>
    <xf numFmtId="0" fontId="3" fillId="0" borderId="102" xfId="42" applyFont="1" applyBorder="1" applyProtection="1"/>
    <xf numFmtId="0" fontId="3" fillId="0" borderId="103" xfId="42" applyFont="1" applyBorder="1" applyProtection="1"/>
    <xf numFmtId="37" fontId="5" fillId="0" borderId="104" xfId="42" applyNumberFormat="1" applyFont="1" applyFill="1" applyBorder="1" applyAlignment="1" applyProtection="1">
      <alignment horizontal="center" vertical="top" wrapText="1"/>
    </xf>
    <xf numFmtId="37" fontId="3" fillId="0" borderId="105" xfId="42" applyNumberFormat="1" applyFont="1" applyFill="1" applyBorder="1" applyAlignment="1" applyProtection="1">
      <alignment horizontal="center" vertical="top" wrapText="1"/>
    </xf>
    <xf numFmtId="37" fontId="3" fillId="0" borderId="103" xfId="42" applyNumberFormat="1" applyFont="1" applyFill="1" applyBorder="1" applyAlignment="1" applyProtection="1">
      <alignment horizontal="center" vertical="top" wrapText="1"/>
    </xf>
    <xf numFmtId="37" fontId="3" fillId="0" borderId="184" xfId="47" applyNumberFormat="1" applyFont="1" applyFill="1" applyBorder="1" applyAlignment="1" applyProtection="1">
      <alignment horizontal="center" vertical="top" wrapText="1"/>
    </xf>
    <xf numFmtId="0" fontId="3" fillId="0" borderId="239" xfId="42" applyFont="1" applyBorder="1" applyAlignment="1" applyProtection="1">
      <alignment vertical="top"/>
    </xf>
    <xf numFmtId="37" fontId="3" fillId="7" borderId="239" xfId="42" applyNumberFormat="1" applyFont="1" applyFill="1" applyBorder="1" applyAlignment="1" applyProtection="1">
      <alignment horizontal="center" vertical="top" wrapText="1"/>
    </xf>
    <xf numFmtId="37" fontId="3" fillId="0" borderId="242" xfId="42" applyNumberFormat="1" applyFont="1" applyFill="1" applyBorder="1" applyAlignment="1" applyProtection="1">
      <alignment horizontal="center" vertical="top" wrapText="1"/>
    </xf>
    <xf numFmtId="9" fontId="3" fillId="0" borderId="56" xfId="53" applyFont="1" applyFill="1" applyBorder="1" applyAlignment="1" applyProtection="1">
      <alignment horizontal="center" vertical="top" wrapText="1"/>
    </xf>
    <xf numFmtId="0" fontId="3" fillId="0" borderId="217" xfId="42" applyFont="1" applyFill="1" applyBorder="1" applyProtection="1"/>
    <xf numFmtId="0" fontId="3" fillId="0" borderId="214" xfId="42" applyFont="1" applyFill="1" applyBorder="1" applyAlignment="1" applyProtection="1">
      <alignment vertical="top"/>
    </xf>
    <xf numFmtId="37" fontId="3" fillId="0" borderId="209" xfId="46" applyNumberFormat="1" applyFont="1" applyFill="1" applyBorder="1" applyAlignment="1" applyProtection="1">
      <alignment horizontal="center" vertical="top" wrapText="1"/>
    </xf>
    <xf numFmtId="37" fontId="3" fillId="0" borderId="217" xfId="46" applyNumberFormat="1" applyFont="1" applyFill="1" applyBorder="1" applyAlignment="1" applyProtection="1">
      <alignment horizontal="center" vertical="top" wrapText="1"/>
    </xf>
    <xf numFmtId="37" fontId="3" fillId="0" borderId="0" xfId="42" applyNumberFormat="1" applyFont="1" applyFill="1" applyBorder="1" applyAlignment="1" applyProtection="1">
      <alignment horizontal="center" vertical="top" wrapText="1"/>
    </xf>
    <xf numFmtId="0" fontId="4" fillId="0" borderId="0" xfId="47" applyFont="1" applyBorder="1" applyProtection="1"/>
    <xf numFmtId="0" fontId="3" fillId="0" borderId="0" xfId="47" applyFont="1" applyBorder="1" applyProtection="1"/>
    <xf numFmtId="0" fontId="4" fillId="0" borderId="0" xfId="47" applyFont="1" applyBorder="1" applyAlignment="1">
      <alignment horizontal="center" vertical="top" wrapText="1"/>
    </xf>
    <xf numFmtId="0" fontId="4" fillId="0" borderId="0" xfId="47" applyFont="1" applyFill="1" applyBorder="1" applyAlignment="1" applyProtection="1">
      <alignment horizontal="center" vertical="top" wrapText="1"/>
    </xf>
    <xf numFmtId="0" fontId="4" fillId="0" borderId="0" xfId="47" applyFont="1" applyAlignment="1" applyProtection="1">
      <alignment horizontal="center" vertical="top" wrapText="1"/>
    </xf>
    <xf numFmtId="0" fontId="3" fillId="0" borderId="106" xfId="47" applyFont="1" applyBorder="1" applyAlignment="1" applyProtection="1">
      <alignment vertical="top"/>
    </xf>
    <xf numFmtId="0" fontId="3" fillId="0" borderId="53" xfId="47" applyFont="1" applyBorder="1" applyAlignment="1" applyProtection="1">
      <alignment vertical="top"/>
    </xf>
    <xf numFmtId="37" fontId="3" fillId="0" borderId="55" xfId="47" applyNumberFormat="1" applyFont="1" applyFill="1" applyBorder="1" applyAlignment="1" applyProtection="1">
      <alignment horizontal="center" vertical="top" wrapText="1"/>
    </xf>
    <xf numFmtId="37" fontId="3" fillId="0" borderId="107" xfId="47" applyNumberFormat="1" applyFont="1" applyFill="1" applyBorder="1" applyAlignment="1" applyProtection="1">
      <alignment horizontal="center" vertical="top" wrapText="1"/>
    </xf>
    <xf numFmtId="0" fontId="3" fillId="0" borderId="45" xfId="47" applyFont="1" applyBorder="1" applyAlignment="1" applyProtection="1">
      <alignment vertical="top"/>
    </xf>
    <xf numFmtId="37" fontId="3" fillId="0" borderId="27" xfId="47" applyNumberFormat="1" applyFont="1" applyFill="1" applyBorder="1" applyAlignment="1" applyProtection="1">
      <alignment horizontal="center" vertical="top" wrapText="1"/>
    </xf>
    <xf numFmtId="37" fontId="3" fillId="0" borderId="108" xfId="47" applyNumberFormat="1" applyFont="1" applyFill="1" applyBorder="1" applyAlignment="1" applyProtection="1">
      <alignment horizontal="center" vertical="top" wrapText="1"/>
    </xf>
    <xf numFmtId="0" fontId="3" fillId="0" borderId="58" xfId="47" applyFont="1" applyBorder="1" applyAlignment="1" applyProtection="1">
      <alignment vertical="top"/>
    </xf>
    <xf numFmtId="0" fontId="3" fillId="0" borderId="59" xfId="47" applyFont="1" applyBorder="1" applyAlignment="1" applyProtection="1">
      <alignment vertical="top"/>
    </xf>
    <xf numFmtId="37" fontId="3" fillId="0" borderId="61" xfId="47" applyNumberFormat="1" applyFont="1" applyFill="1" applyBorder="1" applyAlignment="1" applyProtection="1">
      <alignment horizontal="center" vertical="top" wrapText="1"/>
    </xf>
    <xf numFmtId="37" fontId="3" fillId="0" borderId="109" xfId="47" applyNumberFormat="1" applyFont="1" applyFill="1" applyBorder="1" applyAlignment="1" applyProtection="1">
      <alignment horizontal="center" vertical="top" wrapText="1"/>
    </xf>
    <xf numFmtId="0" fontId="4" fillId="0" borderId="215" xfId="47" applyFont="1" applyBorder="1" applyAlignment="1" applyProtection="1">
      <alignment vertical="top"/>
    </xf>
    <xf numFmtId="0" fontId="3" fillId="0" borderId="209" xfId="47" applyFont="1" applyBorder="1" applyAlignment="1" applyProtection="1">
      <alignment vertical="top"/>
    </xf>
    <xf numFmtId="37" fontId="3" fillId="0" borderId="210" xfId="47" applyNumberFormat="1" applyFont="1" applyFill="1" applyBorder="1" applyAlignment="1" applyProtection="1">
      <alignment horizontal="center" vertical="top" wrapText="1"/>
    </xf>
    <xf numFmtId="37" fontId="3" fillId="0" borderId="197" xfId="47" applyNumberFormat="1" applyFont="1" applyFill="1" applyBorder="1" applyAlignment="1" applyProtection="1">
      <alignment horizontal="center" vertical="top" wrapText="1"/>
    </xf>
    <xf numFmtId="37" fontId="3" fillId="0" borderId="247" xfId="47" applyNumberFormat="1" applyFont="1" applyFill="1" applyBorder="1" applyAlignment="1" applyProtection="1">
      <alignment horizontal="center" vertical="top" wrapText="1"/>
    </xf>
    <xf numFmtId="0" fontId="3" fillId="0" borderId="174" xfId="47" applyFont="1" applyBorder="1" applyAlignment="1" applyProtection="1">
      <alignment vertical="top"/>
    </xf>
    <xf numFmtId="0" fontId="3" fillId="0" borderId="212" xfId="47" applyFont="1" applyBorder="1" applyAlignment="1" applyProtection="1">
      <alignment vertical="top"/>
    </xf>
    <xf numFmtId="37" fontId="3" fillId="0" borderId="175" xfId="47" applyNumberFormat="1" applyFont="1" applyFill="1" applyBorder="1" applyAlignment="1" applyProtection="1">
      <alignment horizontal="center" vertical="top" wrapText="1"/>
    </xf>
    <xf numFmtId="37" fontId="3" fillId="0" borderId="248" xfId="47" applyNumberFormat="1" applyFont="1" applyFill="1" applyBorder="1" applyAlignment="1" applyProtection="1">
      <alignment horizontal="center" vertical="top" wrapText="1"/>
    </xf>
    <xf numFmtId="3" fontId="3" fillId="0" borderId="182" xfId="3" applyNumberFormat="1" applyFont="1" applyFill="1" applyBorder="1" applyAlignment="1" applyProtection="1">
      <alignment horizontal="center" vertical="top" wrapText="1"/>
    </xf>
    <xf numFmtId="3" fontId="3" fillId="0" borderId="175" xfId="47" applyNumberFormat="1" applyFont="1" applyFill="1" applyBorder="1" applyAlignment="1" applyProtection="1">
      <alignment horizontal="center" vertical="top" wrapText="1"/>
    </xf>
    <xf numFmtId="3" fontId="3" fillId="0" borderId="248" xfId="47" applyNumberFormat="1" applyFont="1" applyFill="1" applyBorder="1" applyAlignment="1" applyProtection="1">
      <alignment horizontal="center" vertical="top" wrapText="1"/>
    </xf>
    <xf numFmtId="0" fontId="3" fillId="0" borderId="175" xfId="46" applyFont="1" applyFill="1" applyBorder="1" applyAlignment="1" applyProtection="1">
      <alignment vertical="top"/>
    </xf>
    <xf numFmtId="0" fontId="3" fillId="0" borderId="192" xfId="46" applyFont="1" applyFill="1" applyBorder="1" applyAlignment="1" applyProtection="1">
      <alignment vertical="top"/>
    </xf>
    <xf numFmtId="3" fontId="3" fillId="0" borderId="248" xfId="11" applyNumberFormat="1" applyFont="1" applyFill="1" applyBorder="1" applyAlignment="1" applyProtection="1">
      <alignment horizontal="center" vertical="top" wrapText="1"/>
    </xf>
    <xf numFmtId="3" fontId="3" fillId="0" borderId="175" xfId="11" applyNumberFormat="1" applyFont="1" applyFill="1" applyBorder="1" applyAlignment="1" applyProtection="1">
      <alignment horizontal="center" vertical="top" wrapText="1"/>
    </xf>
    <xf numFmtId="0" fontId="3" fillId="0" borderId="249" xfId="47" applyFont="1" applyBorder="1" applyAlignment="1" applyProtection="1">
      <alignment vertical="top"/>
    </xf>
    <xf numFmtId="0" fontId="3" fillId="0" borderId="217" xfId="47" applyFont="1" applyBorder="1" applyAlignment="1" applyProtection="1">
      <alignment vertical="top"/>
    </xf>
    <xf numFmtId="0" fontId="4" fillId="0" borderId="110" xfId="47" applyFont="1" applyBorder="1" applyAlignment="1" applyProtection="1">
      <alignment vertical="top"/>
    </xf>
    <xf numFmtId="3" fontId="3" fillId="0" borderId="63" xfId="11" applyNumberFormat="1" applyFont="1" applyFill="1" applyBorder="1" applyAlignment="1" applyProtection="1">
      <alignment horizontal="center" vertical="top" wrapText="1"/>
    </xf>
    <xf numFmtId="3" fontId="3" fillId="0" borderId="86" xfId="47" applyNumberFormat="1" applyFont="1" applyFill="1" applyBorder="1" applyAlignment="1" applyProtection="1">
      <alignment horizontal="center" vertical="top" wrapText="1"/>
    </xf>
    <xf numFmtId="3" fontId="3" fillId="0" borderId="111" xfId="47" applyNumberFormat="1" applyFont="1" applyFill="1" applyBorder="1" applyAlignment="1" applyProtection="1">
      <alignment horizontal="center" vertical="top" wrapText="1"/>
    </xf>
    <xf numFmtId="3" fontId="3" fillId="0" borderId="57" xfId="11" applyNumberFormat="1" applyFont="1" applyFill="1" applyBorder="1" applyAlignment="1" applyProtection="1">
      <alignment horizontal="center" vertical="top" wrapText="1"/>
    </xf>
    <xf numFmtId="3" fontId="3" fillId="0" borderId="27" xfId="47" applyNumberFormat="1" applyFont="1" applyFill="1" applyBorder="1" applyAlignment="1" applyProtection="1">
      <alignment horizontal="center" vertical="top" wrapText="1"/>
    </xf>
    <xf numFmtId="3" fontId="3" fillId="0" borderId="108" xfId="47" applyNumberFormat="1" applyFont="1" applyFill="1" applyBorder="1" applyAlignment="1" applyProtection="1">
      <alignment horizontal="center" vertical="top" wrapText="1"/>
    </xf>
    <xf numFmtId="0" fontId="3" fillId="0" borderId="112" xfId="47" applyFont="1" applyBorder="1" applyAlignment="1" applyProtection="1">
      <alignment vertical="top"/>
    </xf>
    <xf numFmtId="3" fontId="3" fillId="0" borderId="82" xfId="11" applyNumberFormat="1" applyFont="1" applyFill="1" applyBorder="1" applyAlignment="1" applyProtection="1">
      <alignment horizontal="center" vertical="top" wrapText="1"/>
    </xf>
    <xf numFmtId="3" fontId="3" fillId="0" borderId="89" xfId="47" applyNumberFormat="1" applyFont="1" applyFill="1" applyBorder="1" applyAlignment="1" applyProtection="1">
      <alignment horizontal="center" vertical="top" wrapText="1"/>
    </xf>
    <xf numFmtId="3" fontId="3" fillId="0" borderId="113" xfId="47" applyNumberFormat="1" applyFont="1" applyFill="1" applyBorder="1" applyAlignment="1" applyProtection="1">
      <alignment horizontal="center" vertical="top" wrapText="1"/>
    </xf>
    <xf numFmtId="0" fontId="4" fillId="0" borderId="250" xfId="47" applyFont="1" applyBorder="1" applyAlignment="1" applyProtection="1">
      <alignment vertical="top"/>
    </xf>
    <xf numFmtId="0" fontId="3" fillId="0" borderId="218" xfId="47" applyFont="1" applyBorder="1" applyAlignment="1" applyProtection="1">
      <alignment vertical="top"/>
    </xf>
    <xf numFmtId="3" fontId="3" fillId="0" borderId="251" xfId="47" applyNumberFormat="1" applyFont="1" applyFill="1" applyBorder="1" applyAlignment="1" applyProtection="1">
      <alignment horizontal="center" vertical="top" wrapText="1"/>
    </xf>
    <xf numFmtId="3" fontId="3" fillId="0" borderId="252" xfId="47" applyNumberFormat="1" applyFont="1" applyFill="1" applyBorder="1" applyAlignment="1" applyProtection="1">
      <alignment horizontal="center" vertical="top" wrapText="1"/>
    </xf>
    <xf numFmtId="0" fontId="3" fillId="0" borderId="253" xfId="42" applyFont="1" applyFill="1" applyBorder="1" applyProtection="1"/>
    <xf numFmtId="0" fontId="3" fillId="0" borderId="190" xfId="47" applyFont="1" applyBorder="1" applyAlignment="1" applyProtection="1">
      <alignment vertical="top"/>
    </xf>
    <xf numFmtId="0" fontId="3" fillId="0" borderId="254" xfId="42" applyFont="1" applyFill="1" applyBorder="1" applyProtection="1"/>
    <xf numFmtId="3" fontId="3" fillId="0" borderId="200" xfId="47" applyNumberFormat="1" applyFont="1" applyFill="1" applyBorder="1" applyAlignment="1" applyProtection="1">
      <alignment horizontal="center" vertical="top" wrapText="1"/>
    </xf>
    <xf numFmtId="3" fontId="3" fillId="0" borderId="255" xfId="47" applyNumberFormat="1" applyFont="1" applyFill="1" applyBorder="1" applyAlignment="1" applyProtection="1">
      <alignment horizontal="center" vertical="top" wrapText="1"/>
    </xf>
    <xf numFmtId="0" fontId="4" fillId="0" borderId="106" xfId="47" applyFont="1" applyBorder="1" applyAlignment="1" applyProtection="1">
      <alignment vertical="top"/>
    </xf>
    <xf numFmtId="3" fontId="3" fillId="0" borderId="54" xfId="11" applyNumberFormat="1" applyFont="1" applyFill="1" applyBorder="1" applyAlignment="1" applyProtection="1">
      <alignment horizontal="center" vertical="top" wrapText="1"/>
    </xf>
    <xf numFmtId="3" fontId="3" fillId="0" borderId="55" xfId="47" applyNumberFormat="1" applyFont="1" applyFill="1" applyBorder="1" applyAlignment="1" applyProtection="1">
      <alignment horizontal="center" vertical="top" wrapText="1"/>
    </xf>
    <xf numFmtId="3" fontId="3" fillId="0" borderId="107" xfId="11" applyNumberFormat="1" applyFont="1" applyFill="1" applyBorder="1" applyAlignment="1" applyProtection="1">
      <alignment horizontal="center" vertical="top" wrapText="1"/>
    </xf>
    <xf numFmtId="3" fontId="3" fillId="0" borderId="60" xfId="11" applyNumberFormat="1" applyFont="1" applyFill="1" applyBorder="1" applyAlignment="1" applyProtection="1">
      <alignment horizontal="center" vertical="top" wrapText="1"/>
    </xf>
    <xf numFmtId="3" fontId="3" fillId="0" borderId="61" xfId="47" applyNumberFormat="1" applyFont="1" applyFill="1" applyBorder="1" applyAlignment="1" applyProtection="1">
      <alignment horizontal="center" vertical="top" wrapText="1"/>
    </xf>
    <xf numFmtId="3" fontId="3" fillId="0" borderId="109" xfId="11" applyNumberFormat="1" applyFont="1" applyFill="1" applyBorder="1" applyAlignment="1" applyProtection="1">
      <alignment horizontal="center" vertical="top" wrapText="1"/>
    </xf>
    <xf numFmtId="3" fontId="3" fillId="0" borderId="208" xfId="47" applyNumberFormat="1" applyFont="1" applyFill="1" applyBorder="1" applyAlignment="1" applyProtection="1">
      <alignment horizontal="center" vertical="top" wrapText="1"/>
    </xf>
    <xf numFmtId="3" fontId="3" fillId="0" borderId="256" xfId="47" applyNumberFormat="1" applyFont="1" applyFill="1" applyBorder="1" applyAlignment="1" applyProtection="1">
      <alignment horizontal="center" vertical="top" wrapText="1"/>
    </xf>
    <xf numFmtId="3" fontId="3" fillId="0" borderId="247" xfId="47" applyNumberFormat="1" applyFont="1" applyFill="1" applyBorder="1" applyAlignment="1" applyProtection="1">
      <alignment horizontal="center" vertical="top" wrapText="1"/>
    </xf>
    <xf numFmtId="0" fontId="18" fillId="0" borderId="174" xfId="47" applyFont="1" applyBorder="1" applyAlignment="1" applyProtection="1">
      <alignment vertical="top"/>
    </xf>
    <xf numFmtId="3" fontId="3" fillId="0" borderId="211" xfId="47" applyNumberFormat="1" applyFont="1" applyFill="1" applyBorder="1" applyAlignment="1" applyProtection="1">
      <alignment horizontal="center" vertical="top" wrapText="1"/>
    </xf>
    <xf numFmtId="3" fontId="3" fillId="0" borderId="257" xfId="47" applyNumberFormat="1" applyFont="1" applyFill="1" applyBorder="1" applyAlignment="1" applyProtection="1">
      <alignment horizontal="center" vertical="top" wrapText="1"/>
    </xf>
    <xf numFmtId="0" fontId="3" fillId="0" borderId="192" xfId="47" applyFont="1" applyBorder="1" applyAlignment="1" applyProtection="1">
      <alignment vertical="top"/>
    </xf>
    <xf numFmtId="0" fontId="3" fillId="0" borderId="175" xfId="47" applyFont="1" applyBorder="1"/>
    <xf numFmtId="0" fontId="3" fillId="0" borderId="175" xfId="42" applyFont="1" applyBorder="1" applyAlignment="1">
      <alignment vertical="top" wrapText="1"/>
    </xf>
    <xf numFmtId="37" fontId="3" fillId="0" borderId="211" xfId="47" applyNumberFormat="1" applyFont="1" applyFill="1" applyBorder="1" applyAlignment="1" applyProtection="1">
      <alignment horizontal="center" vertical="top" wrapText="1"/>
    </xf>
    <xf numFmtId="37" fontId="3" fillId="0" borderId="257" xfId="47" applyNumberFormat="1" applyFont="1" applyFill="1" applyBorder="1" applyAlignment="1" applyProtection="1">
      <alignment horizontal="center" vertical="top" wrapText="1"/>
    </xf>
    <xf numFmtId="0" fontId="3" fillId="0" borderId="175" xfId="47" applyFont="1" applyBorder="1" applyAlignment="1" applyProtection="1">
      <alignment vertical="top"/>
    </xf>
    <xf numFmtId="0" fontId="3" fillId="0" borderId="175" xfId="42" applyFont="1" applyBorder="1" applyAlignment="1">
      <alignment vertical="top"/>
    </xf>
    <xf numFmtId="37" fontId="3" fillId="0" borderId="211" xfId="53" applyNumberFormat="1" applyFont="1" applyFill="1" applyBorder="1" applyAlignment="1" applyProtection="1">
      <alignment horizontal="center" vertical="top" wrapText="1"/>
    </xf>
    <xf numFmtId="37" fontId="3" fillId="0" borderId="258" xfId="42" applyNumberFormat="1" applyFont="1" applyFill="1" applyBorder="1" applyAlignment="1">
      <alignment horizontal="center" vertical="top" wrapText="1"/>
    </xf>
    <xf numFmtId="37" fontId="3" fillId="0" borderId="177" xfId="42" applyNumberFormat="1" applyFont="1" applyFill="1" applyBorder="1" applyAlignment="1">
      <alignment horizontal="center" vertical="top" wrapText="1"/>
    </xf>
    <xf numFmtId="37" fontId="3" fillId="0" borderId="167" xfId="42" applyNumberFormat="1" applyFont="1" applyFill="1" applyBorder="1" applyAlignment="1">
      <alignment horizontal="center" vertical="top" wrapText="1"/>
    </xf>
    <xf numFmtId="0" fontId="3" fillId="0" borderId="200" xfId="47" applyFont="1" applyBorder="1" applyAlignment="1" applyProtection="1">
      <alignment vertical="top"/>
    </xf>
    <xf numFmtId="37" fontId="3" fillId="0" borderId="259" xfId="42" applyNumberFormat="1" applyFont="1" applyFill="1" applyBorder="1" applyAlignment="1">
      <alignment horizontal="center" vertical="top" wrapText="1"/>
    </xf>
    <xf numFmtId="37" fontId="3" fillId="0" borderId="207" xfId="42" applyNumberFormat="1" applyFont="1" applyFill="1" applyBorder="1" applyAlignment="1">
      <alignment horizontal="center" vertical="top" wrapText="1"/>
    </xf>
    <xf numFmtId="37" fontId="3" fillId="0" borderId="168" xfId="42" applyNumberFormat="1" applyFont="1" applyFill="1" applyBorder="1" applyAlignment="1">
      <alignment horizontal="center" vertical="top" wrapText="1"/>
    </xf>
    <xf numFmtId="0" fontId="3" fillId="0" borderId="174" xfId="46" applyFont="1" applyBorder="1" applyAlignment="1" applyProtection="1">
      <alignment vertical="top"/>
    </xf>
    <xf numFmtId="0" fontId="3" fillId="0" borderId="174" xfId="42" applyFont="1" applyBorder="1" applyAlignment="1">
      <alignment vertical="top"/>
    </xf>
    <xf numFmtId="0" fontId="3" fillId="0" borderId="11" xfId="46" applyFont="1" applyBorder="1" applyAlignment="1" applyProtection="1">
      <alignment vertical="top"/>
    </xf>
    <xf numFmtId="0" fontId="3" fillId="0" borderId="12" xfId="46" applyFont="1" applyBorder="1" applyAlignment="1" applyProtection="1">
      <alignment vertical="top"/>
    </xf>
    <xf numFmtId="37" fontId="3" fillId="0" borderId="114" xfId="42" applyNumberFormat="1" applyFont="1" applyFill="1" applyBorder="1" applyAlignment="1">
      <alignment horizontal="center" vertical="top" wrapText="1"/>
    </xf>
    <xf numFmtId="37" fontId="3" fillId="0" borderId="115" xfId="42" applyNumberFormat="1" applyFont="1" applyFill="1" applyBorder="1" applyAlignment="1">
      <alignment horizontal="center" vertical="top" wrapText="1"/>
    </xf>
    <xf numFmtId="37" fontId="3" fillId="0" borderId="8" xfId="42" applyNumberFormat="1" applyFont="1" applyFill="1" applyBorder="1" applyAlignment="1">
      <alignment horizontal="center" vertical="top" wrapText="1"/>
    </xf>
    <xf numFmtId="0" fontId="3" fillId="0" borderId="260" xfId="46" applyFont="1" applyBorder="1" applyAlignment="1">
      <alignment vertical="top"/>
    </xf>
    <xf numFmtId="0" fontId="3" fillId="0" borderId="192" xfId="46" applyFont="1" applyBorder="1" applyAlignment="1">
      <alignment vertical="top"/>
    </xf>
    <xf numFmtId="0" fontId="3" fillId="0" borderId="192" xfId="42" applyFont="1" applyBorder="1" applyAlignment="1">
      <alignment vertical="top" wrapText="1"/>
    </xf>
    <xf numFmtId="0" fontId="3" fillId="0" borderId="260" xfId="47" applyFont="1" applyBorder="1" applyAlignment="1">
      <alignment vertical="top"/>
    </xf>
    <xf numFmtId="37" fontId="3" fillId="0" borderId="261" xfId="42" applyNumberFormat="1" applyFont="1" applyFill="1" applyBorder="1" applyAlignment="1">
      <alignment horizontal="center" vertical="top" wrapText="1"/>
    </xf>
    <xf numFmtId="37" fontId="3" fillId="0" borderId="262" xfId="42" applyNumberFormat="1" applyFont="1" applyFill="1" applyBorder="1" applyAlignment="1">
      <alignment horizontal="center" vertical="top" wrapText="1"/>
    </xf>
    <xf numFmtId="37" fontId="3" fillId="0" borderId="198" xfId="42" applyNumberFormat="1" applyFont="1" applyFill="1" applyBorder="1" applyAlignment="1">
      <alignment horizontal="center" vertical="top" wrapText="1"/>
    </xf>
    <xf numFmtId="0" fontId="3" fillId="0" borderId="214" xfId="47" applyFont="1" applyBorder="1" applyAlignment="1" applyProtection="1">
      <alignment vertical="top"/>
    </xf>
    <xf numFmtId="0" fontId="6" fillId="0" borderId="215" xfId="47" applyFont="1" applyBorder="1" applyAlignment="1" applyProtection="1">
      <alignment vertical="top"/>
    </xf>
    <xf numFmtId="0" fontId="5" fillId="0" borderId="209" xfId="47" applyFont="1" applyBorder="1" applyAlignment="1" applyProtection="1">
      <alignment vertical="top"/>
    </xf>
    <xf numFmtId="164" fontId="5" fillId="0" borderId="210" xfId="47" applyNumberFormat="1" applyFont="1" applyFill="1" applyBorder="1" applyAlignment="1" applyProtection="1">
      <alignment horizontal="center" vertical="top" wrapText="1"/>
    </xf>
    <xf numFmtId="164" fontId="5" fillId="0" borderId="197" xfId="47" applyNumberFormat="1" applyFont="1" applyFill="1" applyBorder="1" applyAlignment="1" applyProtection="1">
      <alignment horizontal="center" vertical="top" wrapText="1"/>
    </xf>
    <xf numFmtId="164" fontId="5" fillId="0" borderId="198" xfId="47" applyNumberFormat="1" applyFont="1" applyFill="1" applyBorder="1" applyAlignment="1" applyProtection="1">
      <alignment horizontal="center" vertical="top" wrapText="1"/>
    </xf>
    <xf numFmtId="0" fontId="5" fillId="0" borderId="174" xfId="47" applyFont="1" applyBorder="1" applyAlignment="1" applyProtection="1">
      <alignment vertical="top"/>
    </xf>
    <xf numFmtId="0" fontId="5" fillId="0" borderId="212" xfId="47" applyFont="1" applyBorder="1" applyAlignment="1" applyProtection="1">
      <alignment vertical="top"/>
    </xf>
    <xf numFmtId="164" fontId="5" fillId="0" borderId="182" xfId="47" applyNumberFormat="1" applyFont="1" applyFill="1" applyBorder="1" applyAlignment="1" applyProtection="1">
      <alignment horizontal="center" vertical="top" wrapText="1"/>
    </xf>
    <xf numFmtId="164" fontId="5" fillId="0" borderId="175" xfId="47" applyNumberFormat="1" applyFont="1" applyFill="1" applyBorder="1" applyAlignment="1" applyProtection="1">
      <alignment horizontal="center" vertical="top" wrapText="1"/>
    </xf>
    <xf numFmtId="164" fontId="5" fillId="0" borderId="167" xfId="47" applyNumberFormat="1" applyFont="1" applyFill="1" applyBorder="1" applyAlignment="1" applyProtection="1">
      <alignment horizontal="center" vertical="top" wrapText="1"/>
    </xf>
    <xf numFmtId="0" fontId="5" fillId="0" borderId="190" xfId="47" applyFont="1" applyBorder="1" applyAlignment="1" applyProtection="1">
      <alignment vertical="top"/>
    </xf>
    <xf numFmtId="0" fontId="6" fillId="0" borderId="214" xfId="47" applyFont="1" applyBorder="1" applyAlignment="1" applyProtection="1">
      <alignment vertical="top"/>
    </xf>
    <xf numFmtId="5" fontId="6" fillId="0" borderId="188" xfId="47" applyNumberFormat="1" applyFont="1" applyFill="1" applyBorder="1" applyAlignment="1" applyProtection="1">
      <alignment horizontal="center" vertical="top" wrapText="1"/>
    </xf>
    <xf numFmtId="5" fontId="6" fillId="0" borderId="200" xfId="47" applyNumberFormat="1" applyFont="1" applyFill="1" applyBorder="1" applyAlignment="1" applyProtection="1">
      <alignment horizontal="center" vertical="top" wrapText="1"/>
    </xf>
    <xf numFmtId="5" fontId="6" fillId="0" borderId="168" xfId="47" applyNumberFormat="1" applyFont="1" applyFill="1" applyBorder="1" applyAlignment="1" applyProtection="1">
      <alignment horizontal="center" vertical="top" wrapText="1" shrinkToFit="1"/>
    </xf>
    <xf numFmtId="0" fontId="4" fillId="0" borderId="178" xfId="47" applyFont="1" applyBorder="1" applyAlignment="1" applyProtection="1">
      <alignment vertical="top"/>
    </xf>
    <xf numFmtId="0" fontId="3" fillId="0" borderId="235" xfId="47" applyFont="1" applyBorder="1" applyAlignment="1" applyProtection="1">
      <alignment vertical="top"/>
    </xf>
    <xf numFmtId="5" fontId="4" fillId="0" borderId="263" xfId="47" applyNumberFormat="1" applyFont="1" applyFill="1" applyBorder="1" applyAlignment="1" applyProtection="1">
      <alignment horizontal="center" vertical="top" wrapText="1"/>
    </xf>
    <xf numFmtId="5" fontId="4" fillId="0" borderId="179" xfId="47" applyNumberFormat="1" applyFont="1" applyFill="1" applyBorder="1" applyAlignment="1" applyProtection="1">
      <alignment horizontal="center" vertical="top" wrapText="1"/>
    </xf>
    <xf numFmtId="5" fontId="4" fillId="0" borderId="264" xfId="47" applyNumberFormat="1" applyFont="1" applyFill="1" applyBorder="1" applyAlignment="1" applyProtection="1">
      <alignment horizontal="center" vertical="top" wrapText="1"/>
    </xf>
    <xf numFmtId="0" fontId="4" fillId="0" borderId="174" xfId="47" applyFont="1" applyBorder="1" applyAlignment="1" applyProtection="1">
      <alignment vertical="top"/>
    </xf>
    <xf numFmtId="5" fontId="4" fillId="0" borderId="182" xfId="47" applyNumberFormat="1" applyFont="1" applyFill="1" applyBorder="1" applyAlignment="1" applyProtection="1">
      <alignment horizontal="center" vertical="top" wrapText="1"/>
    </xf>
    <xf numFmtId="5" fontId="4" fillId="0" borderId="175" xfId="47" applyNumberFormat="1" applyFont="1" applyFill="1" applyBorder="1" applyAlignment="1" applyProtection="1">
      <alignment horizontal="center" vertical="top" wrapText="1"/>
    </xf>
    <xf numFmtId="5" fontId="4" fillId="0" borderId="248" xfId="47" applyNumberFormat="1" applyFont="1" applyFill="1" applyBorder="1" applyAlignment="1" applyProtection="1">
      <alignment horizontal="center" vertical="top" wrapText="1"/>
    </xf>
    <xf numFmtId="0" fontId="4" fillId="0" borderId="265" xfId="47" applyFont="1" applyBorder="1" applyAlignment="1" applyProtection="1">
      <alignment vertical="top"/>
    </xf>
    <xf numFmtId="0" fontId="3" fillId="0" borderId="266" xfId="47" applyFont="1" applyBorder="1" applyAlignment="1" applyProtection="1">
      <alignment vertical="top"/>
    </xf>
    <xf numFmtId="5" fontId="4" fillId="0" borderId="267" xfId="47" applyNumberFormat="1" applyFont="1" applyFill="1" applyBorder="1" applyAlignment="1" applyProtection="1">
      <alignment horizontal="center" vertical="top" wrapText="1"/>
    </xf>
    <xf numFmtId="37" fontId="3" fillId="0" borderId="268" xfId="42" applyNumberFormat="1" applyFont="1" applyFill="1" applyBorder="1" applyAlignment="1" applyProtection="1">
      <alignment horizontal="center" vertical="top" wrapText="1"/>
    </xf>
    <xf numFmtId="5" fontId="4" fillId="7" borderId="269" xfId="47" applyNumberFormat="1" applyFont="1" applyFill="1" applyBorder="1" applyAlignment="1" applyProtection="1">
      <alignment horizontal="center" vertical="top" wrapText="1"/>
    </xf>
    <xf numFmtId="0" fontId="3" fillId="0" borderId="178" xfId="47" applyFont="1" applyBorder="1" applyAlignment="1" applyProtection="1">
      <alignment vertical="top"/>
    </xf>
    <xf numFmtId="37" fontId="3" fillId="0" borderId="263" xfId="47" applyNumberFormat="1" applyFont="1" applyFill="1" applyBorder="1" applyAlignment="1" applyProtection="1">
      <alignment horizontal="center" vertical="top" wrapText="1"/>
    </xf>
    <xf numFmtId="37" fontId="3" fillId="0" borderId="236" xfId="47" applyNumberFormat="1" applyFont="1" applyFill="1" applyBorder="1" applyAlignment="1" applyProtection="1">
      <alignment horizontal="center" vertical="top" wrapText="1"/>
    </xf>
    <xf numFmtId="37" fontId="3" fillId="0" borderId="179" xfId="47" applyNumberFormat="1" applyFont="1" applyFill="1" applyBorder="1" applyAlignment="1" applyProtection="1">
      <alignment horizontal="center" vertical="top" wrapText="1"/>
    </xf>
    <xf numFmtId="0" fontId="3" fillId="0" borderId="212" xfId="47" applyFont="1" applyBorder="1" applyAlignment="1" applyProtection="1">
      <alignment vertical="top" wrapText="1"/>
    </xf>
    <xf numFmtId="0" fontId="3" fillId="0" borderId="214" xfId="47" applyFont="1" applyBorder="1" applyAlignment="1" applyProtection="1">
      <alignment vertical="top" wrapText="1"/>
    </xf>
    <xf numFmtId="37" fontId="3" fillId="0" borderId="188" xfId="47" applyNumberFormat="1" applyFont="1" applyFill="1" applyBorder="1" applyAlignment="1" applyProtection="1">
      <alignment horizontal="center" vertical="top" wrapText="1"/>
    </xf>
    <xf numFmtId="37" fontId="3" fillId="0" borderId="243" xfId="47" applyNumberFormat="1" applyFont="1" applyFill="1" applyBorder="1" applyAlignment="1" applyProtection="1">
      <alignment horizontal="center" vertical="top" wrapText="1"/>
    </xf>
    <xf numFmtId="37" fontId="3" fillId="0" borderId="200" xfId="47" applyNumberFormat="1" applyFont="1" applyFill="1" applyBorder="1" applyAlignment="1" applyProtection="1">
      <alignment horizontal="center" vertical="top" wrapText="1"/>
    </xf>
    <xf numFmtId="0" fontId="3" fillId="0" borderId="44" xfId="47" applyFont="1" applyBorder="1" applyAlignment="1" applyProtection="1">
      <alignment vertical="top"/>
    </xf>
    <xf numFmtId="0" fontId="3" fillId="0" borderId="100" xfId="47" applyFont="1" applyBorder="1" applyAlignment="1" applyProtection="1">
      <alignment vertical="top"/>
    </xf>
    <xf numFmtId="37" fontId="3" fillId="0" borderId="116" xfId="47" applyNumberFormat="1" applyFont="1" applyFill="1" applyBorder="1" applyAlignment="1" applyProtection="1">
      <alignment horizontal="center" vertical="top" wrapText="1"/>
    </xf>
    <xf numFmtId="37" fontId="3" fillId="0" borderId="25" xfId="47" applyNumberFormat="1" applyFont="1" applyFill="1" applyBorder="1" applyAlignment="1" applyProtection="1">
      <alignment horizontal="center" vertical="top" wrapText="1"/>
    </xf>
    <xf numFmtId="37" fontId="3" fillId="0" borderId="95" xfId="47" applyNumberFormat="1" applyFont="1" applyFill="1" applyBorder="1" applyAlignment="1" applyProtection="1">
      <alignment horizontal="center" vertical="top" wrapText="1"/>
    </xf>
    <xf numFmtId="0" fontId="3" fillId="0" borderId="215" xfId="47" applyFont="1" applyBorder="1" applyAlignment="1" applyProtection="1">
      <alignment vertical="top"/>
    </xf>
    <xf numFmtId="0" fontId="3" fillId="0" borderId="45" xfId="46" applyFont="1" applyBorder="1" applyAlignment="1" applyProtection="1">
      <alignment vertical="top"/>
    </xf>
    <xf numFmtId="37" fontId="3" fillId="0" borderId="89" xfId="47" applyNumberFormat="1" applyFont="1" applyFill="1" applyBorder="1" applyAlignment="1" applyProtection="1">
      <alignment horizontal="center" vertical="top" wrapText="1"/>
    </xf>
    <xf numFmtId="37" fontId="3" fillId="0" borderId="74" xfId="47" applyNumberFormat="1" applyFont="1" applyFill="1" applyBorder="1" applyAlignment="1" applyProtection="1">
      <alignment horizontal="center" vertical="top" wrapText="1"/>
    </xf>
    <xf numFmtId="37" fontId="3" fillId="0" borderId="14" xfId="47" applyNumberFormat="1" applyFont="1" applyFill="1" applyBorder="1" applyAlignment="1" applyProtection="1">
      <alignment horizontal="center" vertical="top" wrapText="1"/>
    </xf>
    <xf numFmtId="0" fontId="3" fillId="0" borderId="174" xfId="47" applyFont="1" applyBorder="1" applyAlignment="1" applyProtection="1">
      <alignment horizontal="left" vertical="top" wrapText="1"/>
    </xf>
    <xf numFmtId="0" fontId="3" fillId="0" borderId="212" xfId="47" applyFont="1" applyBorder="1" applyAlignment="1" applyProtection="1">
      <alignment horizontal="left" vertical="top" wrapText="1"/>
    </xf>
    <xf numFmtId="0" fontId="3" fillId="0" borderId="217" xfId="46" applyFont="1" applyBorder="1" applyAlignment="1" applyProtection="1">
      <alignment vertical="top" wrapText="1"/>
    </xf>
    <xf numFmtId="37" fontId="3" fillId="0" borderId="270" xfId="47" applyNumberFormat="1" applyFont="1" applyFill="1" applyBorder="1" applyAlignment="1" applyProtection="1">
      <alignment horizontal="center" vertical="top" wrapText="1"/>
    </xf>
    <xf numFmtId="0" fontId="3" fillId="0" borderId="110" xfId="47" applyFont="1" applyBorder="1" applyAlignment="1" applyProtection="1">
      <alignment vertical="top"/>
    </xf>
    <xf numFmtId="0" fontId="3" fillId="0" borderId="86" xfId="47" applyFont="1" applyFill="1" applyBorder="1" applyAlignment="1" applyProtection="1">
      <alignment horizontal="center" vertical="top" wrapText="1"/>
    </xf>
    <xf numFmtId="0" fontId="3" fillId="0" borderId="250" xfId="47" applyFont="1" applyBorder="1" applyAlignment="1" applyProtection="1">
      <alignment vertical="top"/>
    </xf>
    <xf numFmtId="37" fontId="3" fillId="0" borderId="180" xfId="47" applyNumberFormat="1" applyFont="1" applyFill="1" applyBorder="1" applyAlignment="1" applyProtection="1">
      <alignment horizontal="center" vertical="top" wrapText="1"/>
    </xf>
    <xf numFmtId="37" fontId="3" fillId="0" borderId="251" xfId="47" applyNumberFormat="1" applyFont="1" applyFill="1" applyBorder="1" applyAlignment="1" applyProtection="1">
      <alignment horizontal="center" vertical="top" wrapText="1"/>
    </xf>
    <xf numFmtId="37" fontId="3" fillId="0" borderId="101" xfId="47" applyNumberFormat="1" applyFont="1" applyFill="1" applyBorder="1" applyAlignment="1" applyProtection="1">
      <alignment horizontal="center" vertical="top" wrapText="1"/>
    </xf>
    <xf numFmtId="0" fontId="4" fillId="0" borderId="208" xfId="46" applyFont="1" applyFill="1" applyBorder="1" applyAlignment="1" applyProtection="1">
      <alignment vertical="top"/>
    </xf>
    <xf numFmtId="37" fontId="3" fillId="0" borderId="246" xfId="46" applyNumberFormat="1" applyFont="1" applyFill="1" applyBorder="1" applyAlignment="1" applyProtection="1">
      <alignment horizontal="center" vertical="top" wrapText="1"/>
    </xf>
    <xf numFmtId="37" fontId="3" fillId="0" borderId="219" xfId="46" applyNumberFormat="1" applyFont="1" applyFill="1" applyBorder="1" applyAlignment="1" applyProtection="1">
      <alignment horizontal="center" vertical="top" wrapText="1"/>
    </xf>
    <xf numFmtId="37" fontId="3" fillId="7" borderId="209" xfId="46" applyNumberFormat="1" applyFont="1" applyFill="1" applyBorder="1" applyAlignment="1" applyProtection="1">
      <alignment horizontal="center" vertical="top" wrapText="1"/>
    </xf>
    <xf numFmtId="0" fontId="3" fillId="0" borderId="0" xfId="46"/>
    <xf numFmtId="37" fontId="3" fillId="0" borderId="227" xfId="46" applyNumberFormat="1" applyFont="1" applyFill="1" applyBorder="1" applyAlignment="1" applyProtection="1">
      <alignment horizontal="center" vertical="top" wrapText="1"/>
    </xf>
    <xf numFmtId="37" fontId="3" fillId="0" borderId="183" xfId="46" applyNumberFormat="1" applyFont="1" applyFill="1" applyBorder="1" applyAlignment="1" applyProtection="1">
      <alignment horizontal="center" vertical="top" wrapText="1"/>
    </xf>
    <xf numFmtId="37" fontId="3" fillId="7" borderId="212" xfId="46" applyNumberFormat="1" applyFont="1" applyFill="1" applyBorder="1" applyAlignment="1" applyProtection="1">
      <alignment horizontal="center" vertical="top" wrapText="1"/>
    </xf>
    <xf numFmtId="37" fontId="3" fillId="0" borderId="244" xfId="46" applyNumberFormat="1" applyFont="1" applyFill="1" applyBorder="1" applyAlignment="1" applyProtection="1">
      <alignment horizontal="center" vertical="top" wrapText="1"/>
    </xf>
    <xf numFmtId="37" fontId="3" fillId="0" borderId="186" xfId="46" applyNumberFormat="1" applyFont="1" applyFill="1" applyBorder="1" applyAlignment="1" applyProtection="1">
      <alignment horizontal="center" vertical="top" wrapText="1"/>
    </xf>
    <xf numFmtId="37" fontId="3" fillId="7" borderId="217" xfId="46" applyNumberFormat="1" applyFont="1" applyFill="1" applyBorder="1" applyAlignment="1" applyProtection="1">
      <alignment horizontal="center" vertical="top" wrapText="1"/>
    </xf>
    <xf numFmtId="0" fontId="4" fillId="0" borderId="117" xfId="47" applyFont="1" applyBorder="1" applyAlignment="1" applyProtection="1">
      <alignment vertical="top"/>
    </xf>
    <xf numFmtId="0" fontId="3" fillId="0" borderId="76" xfId="47" applyFont="1" applyBorder="1" applyAlignment="1" applyProtection="1">
      <alignment vertical="top"/>
    </xf>
    <xf numFmtId="37" fontId="3" fillId="0" borderId="75" xfId="47" applyNumberFormat="1" applyFont="1" applyFill="1" applyBorder="1" applyAlignment="1" applyProtection="1">
      <alignment horizontal="center" vertical="top" wrapText="1"/>
    </xf>
    <xf numFmtId="37" fontId="3" fillId="0" borderId="118" xfId="47" applyNumberFormat="1" applyFont="1" applyFill="1" applyBorder="1" applyAlignment="1" applyProtection="1">
      <alignment horizontal="center" vertical="top" wrapText="1"/>
    </xf>
    <xf numFmtId="0" fontId="3" fillId="0" borderId="169" xfId="47" applyFont="1" applyBorder="1" applyAlignment="1" applyProtection="1">
      <alignment vertical="top"/>
    </xf>
    <xf numFmtId="0" fontId="3" fillId="0" borderId="228" xfId="47" applyFont="1" applyBorder="1" applyAlignment="1" applyProtection="1">
      <alignment vertical="top"/>
    </xf>
    <xf numFmtId="37" fontId="3" fillId="0" borderId="271" xfId="47" applyNumberFormat="1" applyFont="1" applyFill="1" applyBorder="1" applyAlignment="1" applyProtection="1">
      <alignment horizontal="center" vertical="top" wrapText="1"/>
    </xf>
    <xf numFmtId="37" fontId="3" fillId="0" borderId="170" xfId="47" applyNumberFormat="1" applyFont="1" applyFill="1" applyBorder="1" applyAlignment="1" applyProtection="1">
      <alignment horizontal="center" vertical="top" wrapText="1"/>
    </xf>
    <xf numFmtId="37" fontId="4" fillId="0" borderId="200" xfId="47" applyNumberFormat="1" applyFont="1" applyFill="1" applyBorder="1" applyAlignment="1" applyProtection="1">
      <alignment horizontal="center" vertical="top" wrapText="1"/>
    </xf>
    <xf numFmtId="0" fontId="3" fillId="0" borderId="0" xfId="47" applyFont="1" applyBorder="1" applyAlignment="1">
      <alignment vertical="top"/>
    </xf>
    <xf numFmtId="37" fontId="3" fillId="0" borderId="0" xfId="47" applyNumberFormat="1" applyFont="1" applyFill="1" applyAlignment="1" applyProtection="1">
      <alignment horizontal="center" vertical="top" wrapText="1"/>
    </xf>
    <xf numFmtId="37" fontId="3" fillId="0" borderId="0" xfId="47" applyNumberFormat="1" applyFont="1" applyFill="1" applyBorder="1" applyAlignment="1" applyProtection="1">
      <alignment horizontal="center" vertical="top" wrapText="1"/>
    </xf>
    <xf numFmtId="37" fontId="3" fillId="0" borderId="0" xfId="47" applyNumberFormat="1" applyFont="1" applyFill="1" applyBorder="1" applyAlignment="1" applyProtection="1">
      <alignment horizontal="center" vertical="top" wrapText="1" shrinkToFit="1"/>
    </xf>
    <xf numFmtId="0" fontId="4" fillId="0" borderId="0" xfId="46" applyFont="1" applyBorder="1" applyAlignment="1" applyProtection="1">
      <alignment vertical="top"/>
    </xf>
    <xf numFmtId="0" fontId="3" fillId="0" borderId="0" xfId="46" applyFont="1" applyBorder="1" applyAlignment="1" applyProtection="1">
      <alignment vertical="top"/>
    </xf>
    <xf numFmtId="0" fontId="4" fillId="0" borderId="119" xfId="46" applyFont="1" applyFill="1" applyBorder="1" applyAlignment="1" applyProtection="1">
      <alignment horizontal="center" vertical="top"/>
    </xf>
    <xf numFmtId="0" fontId="4" fillId="0" borderId="62" xfId="46" applyFont="1" applyBorder="1" applyAlignment="1" applyProtection="1">
      <alignment vertical="top"/>
    </xf>
    <xf numFmtId="0" fontId="4" fillId="0" borderId="80" xfId="46" applyFont="1" applyBorder="1" applyAlignment="1" applyProtection="1">
      <alignment vertical="top"/>
    </xf>
    <xf numFmtId="0" fontId="3" fillId="0" borderId="64" xfId="46" applyFont="1" applyBorder="1" applyAlignment="1" applyProtection="1">
      <alignment vertical="top"/>
    </xf>
    <xf numFmtId="0" fontId="4" fillId="0" borderId="272" xfId="46" applyFont="1" applyBorder="1" applyAlignment="1" applyProtection="1">
      <alignment vertical="top"/>
    </xf>
    <xf numFmtId="0" fontId="3" fillId="0" borderId="273" xfId="46" applyFont="1" applyBorder="1" applyAlignment="1" applyProtection="1">
      <alignment vertical="top"/>
    </xf>
    <xf numFmtId="37" fontId="3" fillId="0" borderId="274" xfId="46" applyNumberFormat="1" applyFont="1" applyFill="1" applyBorder="1" applyAlignment="1" applyProtection="1">
      <alignment horizontal="center" vertical="top"/>
    </xf>
    <xf numFmtId="37" fontId="3" fillId="0" borderId="275" xfId="46" applyNumberFormat="1" applyFont="1" applyFill="1" applyBorder="1" applyAlignment="1" applyProtection="1">
      <alignment horizontal="center" vertical="top"/>
    </xf>
    <xf numFmtId="37" fontId="3" fillId="0" borderId="276" xfId="46" applyNumberFormat="1" applyFont="1" applyFill="1" applyBorder="1" applyAlignment="1" applyProtection="1">
      <alignment horizontal="center" vertical="top"/>
    </xf>
    <xf numFmtId="37" fontId="3" fillId="0" borderId="277" xfId="46" applyNumberFormat="1" applyFont="1" applyFill="1" applyBorder="1" applyAlignment="1" applyProtection="1">
      <alignment horizontal="center" vertical="top"/>
    </xf>
    <xf numFmtId="0" fontId="4" fillId="0" borderId="278" xfId="46" applyFont="1" applyBorder="1" applyAlignment="1" applyProtection="1">
      <alignment vertical="top"/>
    </xf>
    <xf numFmtId="0" fontId="3" fillId="0" borderId="279" xfId="46" applyFont="1" applyBorder="1" applyAlignment="1" applyProtection="1">
      <alignment vertical="top"/>
    </xf>
    <xf numFmtId="5" fontId="4" fillId="0" borderId="280" xfId="46" applyNumberFormat="1" applyFont="1" applyFill="1" applyBorder="1" applyAlignment="1" applyProtection="1">
      <alignment horizontal="center" vertical="top"/>
    </xf>
    <xf numFmtId="5" fontId="4" fillId="0" borderId="281" xfId="46" applyNumberFormat="1" applyFont="1" applyFill="1" applyBorder="1" applyAlignment="1" applyProtection="1">
      <alignment horizontal="center" vertical="top"/>
    </xf>
    <xf numFmtId="5" fontId="4" fillId="0" borderId="282" xfId="46" applyNumberFormat="1" applyFont="1" applyFill="1" applyBorder="1" applyAlignment="1" applyProtection="1">
      <alignment horizontal="center" vertical="top"/>
    </xf>
    <xf numFmtId="37" fontId="3" fillId="0" borderId="283" xfId="46" applyNumberFormat="1" applyFont="1" applyFill="1" applyBorder="1" applyAlignment="1" applyProtection="1">
      <alignment horizontal="center" vertical="top"/>
    </xf>
    <xf numFmtId="5" fontId="4" fillId="0" borderId="284" xfId="46" applyNumberFormat="1" applyFont="1" applyFill="1" applyBorder="1" applyAlignment="1" applyProtection="1">
      <alignment horizontal="center" vertical="top"/>
    </xf>
    <xf numFmtId="0" fontId="4" fillId="0" borderId="0" xfId="45" applyFont="1" applyBorder="1" applyAlignment="1" applyProtection="1">
      <alignment horizontal="left"/>
    </xf>
    <xf numFmtId="0" fontId="4" fillId="0" borderId="0" xfId="46" applyFont="1" applyFill="1" applyBorder="1" applyAlignment="1" applyProtection="1">
      <alignment horizontal="center" vertical="top"/>
    </xf>
    <xf numFmtId="0" fontId="3" fillId="0" borderId="285" xfId="46" applyFont="1" applyBorder="1" applyAlignment="1" applyProtection="1">
      <alignment vertical="top"/>
    </xf>
    <xf numFmtId="0" fontId="3" fillId="0" borderId="286" xfId="46" applyFont="1" applyFill="1" applyBorder="1" applyAlignment="1" applyProtection="1">
      <alignment horizontal="center" vertical="top"/>
    </xf>
    <xf numFmtId="0" fontId="4" fillId="0" borderId="287" xfId="46" applyFont="1" applyFill="1" applyBorder="1" applyAlignment="1" applyProtection="1">
      <alignment horizontal="center" vertical="top"/>
    </xf>
    <xf numFmtId="0" fontId="4" fillId="0" borderId="288" xfId="46" applyFont="1" applyFill="1" applyBorder="1" applyAlignment="1" applyProtection="1">
      <alignment horizontal="center" vertical="top"/>
    </xf>
    <xf numFmtId="0" fontId="4" fillId="0" borderId="289" xfId="46" applyFont="1" applyFill="1" applyBorder="1" applyAlignment="1" applyProtection="1">
      <alignment horizontal="center" vertical="top"/>
    </xf>
    <xf numFmtId="0" fontId="4" fillId="0" borderId="290" xfId="46" applyFont="1" applyBorder="1" applyAlignment="1" applyProtection="1">
      <alignment vertical="top"/>
    </xf>
    <xf numFmtId="0" fontId="3" fillId="0" borderId="87" xfId="46" applyFont="1" applyBorder="1" applyAlignment="1" applyProtection="1">
      <alignment vertical="top"/>
    </xf>
    <xf numFmtId="37" fontId="3" fillId="0" borderId="291" xfId="46" applyNumberFormat="1" applyFont="1" applyFill="1" applyBorder="1" applyAlignment="1" applyProtection="1">
      <alignment horizontal="center" vertical="top"/>
    </xf>
    <xf numFmtId="37" fontId="3" fillId="0" borderId="292" xfId="53" applyNumberFormat="1" applyFont="1" applyFill="1" applyBorder="1" applyAlignment="1" applyProtection="1">
      <alignment horizontal="center" vertical="top" wrapText="1"/>
    </xf>
    <xf numFmtId="0" fontId="3" fillId="0" borderId="293" xfId="46" applyFont="1" applyFill="1" applyBorder="1" applyAlignment="1" applyProtection="1">
      <alignment horizontal="center" vertical="top" wrapText="1"/>
    </xf>
    <xf numFmtId="0" fontId="3" fillId="0" borderId="294" xfId="46" applyFont="1" applyFill="1" applyBorder="1" applyAlignment="1" applyProtection="1">
      <alignment horizontal="center" vertical="top" wrapText="1"/>
    </xf>
    <xf numFmtId="0" fontId="3" fillId="0" borderId="88" xfId="46" applyFont="1" applyBorder="1" applyAlignment="1" applyProtection="1">
      <alignment vertical="top"/>
    </xf>
    <xf numFmtId="37" fontId="3" fillId="0" borderId="295" xfId="46" applyNumberFormat="1" applyFont="1" applyFill="1" applyBorder="1" applyAlignment="1" applyProtection="1">
      <alignment horizontal="center" vertical="top"/>
    </xf>
    <xf numFmtId="37" fontId="3" fillId="0" borderId="296" xfId="46" applyNumberFormat="1" applyFont="1" applyFill="1" applyBorder="1" applyAlignment="1" applyProtection="1">
      <alignment horizontal="center" vertical="top"/>
    </xf>
    <xf numFmtId="37" fontId="3" fillId="0" borderId="297" xfId="46" applyNumberFormat="1" applyFont="1" applyFill="1" applyBorder="1" applyAlignment="1" applyProtection="1">
      <alignment horizontal="center" vertical="top"/>
    </xf>
    <xf numFmtId="37" fontId="3" fillId="0" borderId="298" xfId="46" applyNumberFormat="1" applyFont="1" applyFill="1" applyBorder="1" applyAlignment="1" applyProtection="1">
      <alignment horizontal="center" vertical="top"/>
    </xf>
    <xf numFmtId="0" fontId="3" fillId="0" borderId="299" xfId="46" applyFont="1" applyBorder="1" applyAlignment="1" applyProtection="1">
      <alignment vertical="top"/>
    </xf>
    <xf numFmtId="37" fontId="3" fillId="0" borderId="286" xfId="46" applyNumberFormat="1" applyFont="1" applyFill="1" applyBorder="1" applyAlignment="1" applyProtection="1">
      <alignment horizontal="center" vertical="top"/>
    </xf>
    <xf numFmtId="37" fontId="3" fillId="0" borderId="287" xfId="46" applyNumberFormat="1" applyFont="1" applyFill="1" applyBorder="1" applyAlignment="1" applyProtection="1">
      <alignment horizontal="center" vertical="top"/>
    </xf>
    <xf numFmtId="37" fontId="3" fillId="0" borderId="288" xfId="46" applyNumberFormat="1" applyFont="1" applyFill="1" applyBorder="1" applyAlignment="1" applyProtection="1">
      <alignment horizontal="center" vertical="top"/>
    </xf>
    <xf numFmtId="37" fontId="3" fillId="0" borderId="289" xfId="46" applyNumberFormat="1" applyFont="1" applyFill="1" applyBorder="1" applyAlignment="1" applyProtection="1">
      <alignment horizontal="center" vertical="top"/>
    </xf>
    <xf numFmtId="37" fontId="3" fillId="0" borderId="292" xfId="46" applyNumberFormat="1" applyFont="1" applyFill="1" applyBorder="1" applyAlignment="1" applyProtection="1">
      <alignment horizontal="center" vertical="top"/>
    </xf>
    <xf numFmtId="37" fontId="3" fillId="0" borderId="293" xfId="46" applyNumberFormat="1" applyFont="1" applyFill="1" applyBorder="1" applyAlignment="1" applyProtection="1">
      <alignment horizontal="center" vertical="top"/>
    </xf>
    <xf numFmtId="37" fontId="3" fillId="0" borderId="294" xfId="46" applyNumberFormat="1" applyFont="1" applyFill="1" applyBorder="1" applyAlignment="1" applyProtection="1">
      <alignment horizontal="center" vertical="top"/>
    </xf>
    <xf numFmtId="0" fontId="3" fillId="0" borderId="300" xfId="46" applyFont="1" applyBorder="1" applyAlignment="1" applyProtection="1">
      <alignment vertical="top"/>
    </xf>
    <xf numFmtId="0" fontId="3" fillId="0" borderId="301" xfId="46" applyFont="1" applyBorder="1" applyAlignment="1" applyProtection="1">
      <alignment vertical="top"/>
    </xf>
    <xf numFmtId="37" fontId="3" fillId="0" borderId="302" xfId="46" applyNumberFormat="1" applyFont="1" applyFill="1" applyBorder="1" applyAlignment="1" applyProtection="1">
      <alignment horizontal="center" vertical="top"/>
    </xf>
    <xf numFmtId="37" fontId="3" fillId="0" borderId="303" xfId="46" applyNumberFormat="1" applyFont="1" applyFill="1" applyBorder="1" applyAlignment="1" applyProtection="1">
      <alignment horizontal="center" vertical="top"/>
    </xf>
    <xf numFmtId="37" fontId="3" fillId="0" borderId="304" xfId="46" applyNumberFormat="1" applyFont="1" applyFill="1" applyBorder="1" applyAlignment="1" applyProtection="1">
      <alignment horizontal="center" vertical="top"/>
    </xf>
    <xf numFmtId="0" fontId="3" fillId="0" borderId="305" xfId="46" applyFont="1" applyBorder="1" applyAlignment="1" applyProtection="1">
      <alignment vertical="top"/>
    </xf>
    <xf numFmtId="0" fontId="3" fillId="0" borderId="122" xfId="46" applyFont="1" applyBorder="1" applyAlignment="1" applyProtection="1">
      <alignment vertical="top"/>
    </xf>
    <xf numFmtId="37" fontId="3" fillId="0" borderId="306" xfId="46" applyNumberFormat="1" applyFont="1" applyFill="1" applyBorder="1" applyAlignment="1" applyProtection="1">
      <alignment horizontal="center" vertical="top"/>
    </xf>
    <xf numFmtId="37" fontId="3" fillId="0" borderId="307" xfId="46" applyNumberFormat="1" applyFont="1" applyFill="1" applyBorder="1" applyAlignment="1" applyProtection="1">
      <alignment horizontal="center" vertical="top"/>
    </xf>
    <xf numFmtId="37" fontId="3" fillId="0" borderId="308" xfId="46" applyNumberFormat="1" applyFont="1" applyFill="1" applyBorder="1" applyAlignment="1" applyProtection="1">
      <alignment horizontal="center" vertical="top"/>
    </xf>
    <xf numFmtId="37" fontId="3" fillId="0" borderId="309" xfId="46" applyNumberFormat="1" applyFont="1" applyFill="1" applyBorder="1" applyAlignment="1" applyProtection="1">
      <alignment horizontal="center" vertical="top"/>
    </xf>
    <xf numFmtId="37" fontId="3" fillId="0" borderId="310" xfId="46" applyNumberFormat="1" applyFont="1" applyFill="1" applyBorder="1" applyAlignment="1" applyProtection="1">
      <alignment horizontal="center" vertical="top"/>
    </xf>
    <xf numFmtId="9" fontId="3" fillId="0" borderId="307" xfId="53" applyFont="1" applyFill="1" applyBorder="1" applyAlignment="1" applyProtection="1">
      <alignment horizontal="center" vertical="top"/>
    </xf>
    <xf numFmtId="9" fontId="3" fillId="0" borderId="308" xfId="53" applyFont="1" applyFill="1" applyBorder="1" applyAlignment="1" applyProtection="1">
      <alignment horizontal="center" vertical="top"/>
    </xf>
    <xf numFmtId="9" fontId="3" fillId="0" borderId="306" xfId="53" applyFont="1" applyFill="1" applyBorder="1" applyAlignment="1" applyProtection="1">
      <alignment horizontal="center" vertical="top"/>
    </xf>
    <xf numFmtId="0" fontId="3" fillId="0" borderId="311" xfId="46" applyFont="1" applyBorder="1" applyAlignment="1" applyProtection="1">
      <alignment vertical="top"/>
    </xf>
    <xf numFmtId="0" fontId="3" fillId="0" borderId="124" xfId="46" applyFont="1" applyBorder="1" applyAlignment="1" applyProtection="1">
      <alignment vertical="top"/>
    </xf>
    <xf numFmtId="37" fontId="3" fillId="0" borderId="312" xfId="46" applyNumberFormat="1" applyFont="1" applyFill="1" applyBorder="1" applyAlignment="1" applyProtection="1">
      <alignment horizontal="center" vertical="top"/>
    </xf>
    <xf numFmtId="37" fontId="3" fillId="0" borderId="313" xfId="46" applyNumberFormat="1" applyFont="1" applyFill="1" applyBorder="1" applyAlignment="1" applyProtection="1">
      <alignment horizontal="center" vertical="top"/>
    </xf>
    <xf numFmtId="37" fontId="3" fillId="0" borderId="314" xfId="46" applyNumberFormat="1" applyFont="1" applyFill="1" applyBorder="1" applyAlignment="1" applyProtection="1">
      <alignment horizontal="center" vertical="top"/>
    </xf>
    <xf numFmtId="5" fontId="4" fillId="0" borderId="291" xfId="46" applyNumberFormat="1" applyFont="1" applyFill="1" applyBorder="1" applyAlignment="1" applyProtection="1">
      <alignment horizontal="center" vertical="top"/>
    </xf>
    <xf numFmtId="5" fontId="4" fillId="0" borderId="295" xfId="46" applyNumberFormat="1" applyFont="1" applyFill="1" applyBorder="1" applyAlignment="1" applyProtection="1">
      <alignment horizontal="center" vertical="top"/>
    </xf>
    <xf numFmtId="0" fontId="3" fillId="0" borderId="0" xfId="46" applyFont="1" applyBorder="1" applyAlignment="1">
      <alignment vertical="top"/>
    </xf>
    <xf numFmtId="3" fontId="3" fillId="0" borderId="0" xfId="11" applyNumberFormat="1" applyFont="1" applyFill="1" applyBorder="1" applyAlignment="1" applyProtection="1">
      <alignment horizontal="center"/>
    </xf>
    <xf numFmtId="3" fontId="3" fillId="0" borderId="0" xfId="46" applyNumberFormat="1" applyFont="1" applyFill="1" applyBorder="1" applyAlignment="1" applyProtection="1">
      <alignment horizontal="center"/>
    </xf>
    <xf numFmtId="0" fontId="4" fillId="0" borderId="0" xfId="47" applyFont="1" applyBorder="1" applyAlignment="1" applyProtection="1">
      <alignment vertical="top"/>
    </xf>
    <xf numFmtId="0" fontId="3" fillId="0" borderId="0" xfId="47" applyFont="1" applyBorder="1" applyAlignment="1" applyProtection="1">
      <alignment vertical="top"/>
    </xf>
    <xf numFmtId="0" fontId="4" fillId="0" borderId="0" xfId="47" applyFont="1" applyFill="1" applyAlignment="1" applyProtection="1">
      <alignment horizontal="center" vertical="top" wrapText="1"/>
    </xf>
    <xf numFmtId="37" fontId="3" fillId="0" borderId="54" xfId="47" applyNumberFormat="1" applyFont="1" applyFill="1" applyBorder="1" applyAlignment="1" applyProtection="1">
      <alignment horizontal="center" vertical="top" wrapText="1"/>
    </xf>
    <xf numFmtId="37" fontId="3" fillId="0" borderId="126" xfId="47" applyNumberFormat="1" applyFont="1" applyFill="1" applyBorder="1" applyAlignment="1" applyProtection="1">
      <alignment horizontal="center" vertical="top" wrapText="1"/>
    </xf>
    <xf numFmtId="37" fontId="3" fillId="0" borderId="96" xfId="47" applyNumberFormat="1" applyFont="1" applyFill="1" applyBorder="1" applyAlignment="1" applyProtection="1">
      <alignment horizontal="center" vertical="top" wrapText="1"/>
    </xf>
    <xf numFmtId="37" fontId="4" fillId="0" borderId="60" xfId="47" applyNumberFormat="1" applyFont="1" applyFill="1" applyBorder="1" applyAlignment="1" applyProtection="1">
      <alignment horizontal="center" vertical="top" wrapText="1"/>
    </xf>
    <xf numFmtId="37" fontId="3" fillId="0" borderId="127" xfId="47" applyNumberFormat="1" applyFont="1" applyFill="1" applyBorder="1" applyAlignment="1" applyProtection="1">
      <alignment horizontal="center" vertical="top" wrapText="1"/>
    </xf>
    <xf numFmtId="0" fontId="4" fillId="0" borderId="208" xfId="47" applyFont="1" applyBorder="1" applyAlignment="1" applyProtection="1">
      <alignment vertical="top"/>
    </xf>
    <xf numFmtId="37" fontId="3" fillId="0" borderId="208" xfId="47" applyNumberFormat="1" applyFont="1" applyFill="1" applyBorder="1" applyAlignment="1" applyProtection="1">
      <alignment horizontal="center" vertical="top" wrapText="1"/>
    </xf>
    <xf numFmtId="37" fontId="3" fillId="0" borderId="256" xfId="47" applyNumberFormat="1" applyFont="1" applyFill="1" applyBorder="1" applyAlignment="1" applyProtection="1">
      <alignment horizontal="center" vertical="top" wrapText="1"/>
    </xf>
    <xf numFmtId="37" fontId="3" fillId="0" borderId="220" xfId="47" applyNumberFormat="1" applyFont="1" applyFill="1" applyBorder="1" applyAlignment="1" applyProtection="1">
      <alignment horizontal="center" vertical="top" wrapText="1"/>
    </xf>
    <xf numFmtId="0" fontId="3" fillId="0" borderId="211" xfId="47" applyFont="1" applyBorder="1" applyAlignment="1" applyProtection="1">
      <alignment vertical="top"/>
    </xf>
    <xf numFmtId="9" fontId="3" fillId="0" borderId="211" xfId="53" applyFont="1" applyFill="1" applyBorder="1" applyAlignment="1" applyProtection="1">
      <alignment horizontal="center" vertical="top" wrapText="1"/>
    </xf>
    <xf numFmtId="0" fontId="3" fillId="0" borderId="213" xfId="47" applyFont="1" applyBorder="1" applyAlignment="1" applyProtection="1">
      <alignment vertical="top"/>
    </xf>
    <xf numFmtId="0" fontId="4" fillId="0" borderId="214" xfId="47" applyFont="1" applyBorder="1" applyAlignment="1" applyProtection="1">
      <alignment vertical="top"/>
    </xf>
    <xf numFmtId="5" fontId="3" fillId="0" borderId="213" xfId="47" applyNumberFormat="1" applyFont="1" applyFill="1" applyBorder="1" applyAlignment="1" applyProtection="1">
      <alignment horizontal="center" vertical="top" wrapText="1"/>
    </xf>
    <xf numFmtId="37" fontId="3" fillId="0" borderId="315" xfId="47" applyNumberFormat="1" applyFont="1" applyFill="1" applyBorder="1" applyAlignment="1" applyProtection="1">
      <alignment horizontal="center" vertical="top" wrapText="1"/>
    </xf>
    <xf numFmtId="37" fontId="3" fillId="0" borderId="221" xfId="47" applyNumberFormat="1" applyFont="1" applyFill="1" applyBorder="1" applyAlignment="1" applyProtection="1">
      <alignment horizontal="center" vertical="top" wrapText="1"/>
    </xf>
    <xf numFmtId="9" fontId="3" fillId="0" borderId="182" xfId="53" applyFont="1" applyFill="1" applyBorder="1" applyAlignment="1" applyProtection="1">
      <alignment horizontal="center" vertical="top" wrapText="1"/>
    </xf>
    <xf numFmtId="9" fontId="3" fillId="0" borderId="175" xfId="53" applyFont="1" applyFill="1" applyBorder="1" applyAlignment="1" applyProtection="1">
      <alignment horizontal="center" vertical="top" wrapText="1"/>
    </xf>
    <xf numFmtId="0" fontId="3" fillId="0" borderId="265" xfId="47" applyFont="1" applyBorder="1" applyAlignment="1" applyProtection="1">
      <alignment vertical="top"/>
    </xf>
    <xf numFmtId="0" fontId="3" fillId="0" borderId="233" xfId="47" applyFont="1" applyBorder="1" applyAlignment="1" applyProtection="1">
      <alignment vertical="top"/>
    </xf>
    <xf numFmtId="37" fontId="3" fillId="0" borderId="232" xfId="47" applyNumberFormat="1" applyFont="1" applyFill="1" applyBorder="1" applyAlignment="1" applyProtection="1">
      <alignment horizontal="center" vertical="top" wrapText="1"/>
    </xf>
    <xf numFmtId="37" fontId="3" fillId="0" borderId="316" xfId="47" applyNumberFormat="1" applyFont="1" applyFill="1" applyBorder="1" applyAlignment="1" applyProtection="1">
      <alignment horizontal="center" vertical="top" wrapText="1"/>
    </xf>
    <xf numFmtId="37" fontId="3" fillId="0" borderId="317" xfId="47" applyNumberFormat="1" applyFont="1" applyFill="1" applyBorder="1" applyAlignment="1" applyProtection="1">
      <alignment horizontal="center" vertical="top" wrapText="1"/>
    </xf>
    <xf numFmtId="0" fontId="3" fillId="0" borderId="128" xfId="47" applyFont="1" applyBorder="1" applyAlignment="1" applyProtection="1">
      <alignment vertical="top"/>
    </xf>
    <xf numFmtId="0" fontId="4" fillId="0" borderId="129" xfId="47" applyFont="1" applyBorder="1" applyAlignment="1" applyProtection="1">
      <alignment vertical="top"/>
    </xf>
    <xf numFmtId="5" fontId="3" fillId="0" borderId="130" xfId="47" applyNumberFormat="1" applyFont="1" applyFill="1" applyBorder="1" applyAlignment="1" applyProtection="1">
      <alignment horizontal="center" vertical="top" wrapText="1"/>
    </xf>
    <xf numFmtId="37" fontId="3" fillId="0" borderId="131" xfId="47" applyNumberFormat="1" applyFont="1" applyFill="1" applyBorder="1" applyAlignment="1" applyProtection="1">
      <alignment horizontal="center" vertical="top" wrapText="1"/>
    </xf>
    <xf numFmtId="37" fontId="3" fillId="0" borderId="132" xfId="47" applyNumberFormat="1" applyFont="1" applyFill="1" applyBorder="1" applyAlignment="1" applyProtection="1">
      <alignment horizontal="center" vertical="top" wrapText="1"/>
    </xf>
    <xf numFmtId="0" fontId="4" fillId="0" borderId="234" xfId="47" applyFont="1" applyBorder="1" applyAlignment="1" applyProtection="1">
      <alignment vertical="top"/>
    </xf>
    <xf numFmtId="37" fontId="3" fillId="0" borderId="234" xfId="47" applyNumberFormat="1" applyFont="1" applyFill="1" applyBorder="1" applyAlignment="1" applyProtection="1">
      <alignment horizontal="center" vertical="top" wrapText="1"/>
    </xf>
    <xf numFmtId="37" fontId="3" fillId="0" borderId="318" xfId="47" applyNumberFormat="1" applyFont="1" applyFill="1" applyBorder="1" applyAlignment="1" applyProtection="1">
      <alignment horizontal="center" vertical="top" wrapText="1"/>
    </xf>
    <xf numFmtId="37" fontId="3" fillId="0" borderId="237" xfId="47" applyNumberFormat="1" applyFont="1" applyFill="1" applyBorder="1" applyAlignment="1" applyProtection="1">
      <alignment horizontal="center" vertical="top" wrapText="1"/>
    </xf>
    <xf numFmtId="5" fontId="4" fillId="0" borderId="211" xfId="47" applyNumberFormat="1" applyFont="1" applyFill="1" applyBorder="1" applyAlignment="1" applyProtection="1">
      <alignment horizontal="center" vertical="top" wrapText="1"/>
    </xf>
    <xf numFmtId="0" fontId="3" fillId="0" borderId="216" xfId="47" applyFont="1" applyBorder="1" applyAlignment="1" applyProtection="1">
      <alignment vertical="top"/>
    </xf>
    <xf numFmtId="37" fontId="3" fillId="0" borderId="216" xfId="47" applyNumberFormat="1" applyFont="1" applyFill="1" applyBorder="1" applyAlignment="1" applyProtection="1">
      <alignment horizontal="center" vertical="top" wrapText="1"/>
    </xf>
    <xf numFmtId="37" fontId="3" fillId="0" borderId="319" xfId="47" applyNumberFormat="1" applyFont="1" applyFill="1" applyBorder="1" applyAlignment="1" applyProtection="1">
      <alignment horizontal="center" vertical="top" wrapText="1"/>
    </xf>
    <xf numFmtId="37" fontId="3" fillId="0" borderId="187" xfId="47" applyNumberFormat="1" applyFont="1" applyFill="1" applyBorder="1" applyAlignment="1" applyProtection="1">
      <alignment horizontal="center" vertical="top" wrapText="1"/>
    </xf>
    <xf numFmtId="37" fontId="3" fillId="0" borderId="62" xfId="47" applyNumberFormat="1" applyFont="1" applyFill="1" applyBorder="1" applyAlignment="1" applyProtection="1">
      <alignment horizontal="center" vertical="top" wrapText="1"/>
    </xf>
    <xf numFmtId="37" fontId="3" fillId="0" borderId="133" xfId="47" applyNumberFormat="1" applyFont="1" applyFill="1" applyBorder="1" applyAlignment="1" applyProtection="1">
      <alignment horizontal="center" vertical="top" wrapText="1"/>
    </xf>
    <xf numFmtId="37" fontId="3" fillId="0" borderId="94" xfId="47" applyNumberFormat="1" applyFont="1" applyFill="1" applyBorder="1" applyAlignment="1" applyProtection="1">
      <alignment horizontal="center" vertical="top" wrapText="1"/>
    </xf>
    <xf numFmtId="3" fontId="3" fillId="0" borderId="80" xfId="47" applyNumberFormat="1" applyFont="1" applyFill="1" applyBorder="1" applyAlignment="1" applyProtection="1">
      <alignment horizontal="center" vertical="top" wrapText="1"/>
    </xf>
    <xf numFmtId="3" fontId="3" fillId="0" borderId="134" xfId="47" applyNumberFormat="1" applyFont="1" applyFill="1" applyBorder="1" applyAlignment="1" applyProtection="1">
      <alignment horizontal="center" vertical="top" wrapText="1"/>
    </xf>
    <xf numFmtId="3" fontId="3" fillId="0" borderId="98" xfId="47" applyNumberFormat="1" applyFont="1" applyFill="1" applyBorder="1" applyAlignment="1" applyProtection="1">
      <alignment horizontal="center" vertical="top" wrapText="1"/>
    </xf>
    <xf numFmtId="37" fontId="3" fillId="0" borderId="135" xfId="47" applyNumberFormat="1" applyFont="1" applyFill="1" applyBorder="1" applyAlignment="1" applyProtection="1">
      <alignment horizontal="center" vertical="top" wrapText="1"/>
    </xf>
    <xf numFmtId="0" fontId="4" fillId="0" borderId="0" xfId="42" applyFont="1" applyAlignment="1" applyProtection="1">
      <alignment horizontal="center" vertical="top" wrapText="1"/>
    </xf>
    <xf numFmtId="0" fontId="4" fillId="0" borderId="0" xfId="42" applyFont="1" applyBorder="1" applyAlignment="1" applyProtection="1">
      <alignment horizontal="center" vertical="top" wrapText="1"/>
    </xf>
    <xf numFmtId="0" fontId="3" fillId="0" borderId="0" xfId="42" applyFont="1" applyAlignment="1" applyProtection="1">
      <alignment horizontal="center" vertical="top" wrapText="1"/>
    </xf>
    <xf numFmtId="37" fontId="3" fillId="0" borderId="53" xfId="42" applyNumberFormat="1" applyFont="1" applyBorder="1" applyAlignment="1" applyProtection="1">
      <alignment horizontal="center" vertical="top" wrapText="1"/>
    </xf>
    <xf numFmtId="37" fontId="3" fillId="0" borderId="126" xfId="42" applyNumberFormat="1" applyFont="1" applyBorder="1" applyAlignment="1" applyProtection="1">
      <alignment horizontal="center" vertical="top" wrapText="1"/>
    </xf>
    <xf numFmtId="37" fontId="3" fillId="0" borderId="107" xfId="42" applyNumberFormat="1" applyFont="1" applyBorder="1" applyAlignment="1" applyProtection="1">
      <alignment horizontal="center" vertical="top" wrapText="1"/>
    </xf>
    <xf numFmtId="37" fontId="3" fillId="0" borderId="56" xfId="42" applyNumberFormat="1" applyFont="1" applyBorder="1" applyAlignment="1" applyProtection="1">
      <alignment horizontal="center" vertical="top" wrapText="1"/>
    </xf>
    <xf numFmtId="37" fontId="3" fillId="0" borderId="96" xfId="42" applyNumberFormat="1" applyFont="1" applyBorder="1" applyAlignment="1" applyProtection="1">
      <alignment horizontal="center" vertical="top" wrapText="1"/>
    </xf>
    <xf numFmtId="37" fontId="3" fillId="0" borderId="108" xfId="42" applyNumberFormat="1" applyFont="1" applyBorder="1" applyAlignment="1" applyProtection="1">
      <alignment horizontal="center" vertical="top" wrapText="1"/>
    </xf>
    <xf numFmtId="37" fontId="3" fillId="0" borderId="59" xfId="42" applyNumberFormat="1" applyFont="1" applyBorder="1" applyAlignment="1" applyProtection="1">
      <alignment horizontal="center" vertical="top" wrapText="1"/>
    </xf>
    <xf numFmtId="37" fontId="3" fillId="0" borderId="127" xfId="42" applyNumberFormat="1" applyFont="1" applyBorder="1" applyAlignment="1" applyProtection="1">
      <alignment horizontal="center" vertical="top" wrapText="1"/>
    </xf>
    <xf numFmtId="37" fontId="3" fillId="0" borderId="109" xfId="42" applyNumberFormat="1" applyFont="1" applyBorder="1" applyAlignment="1" applyProtection="1">
      <alignment horizontal="center" vertical="top" wrapText="1"/>
    </xf>
    <xf numFmtId="0" fontId="4" fillId="0" borderId="203" xfId="42" applyFont="1" applyBorder="1" applyProtection="1"/>
    <xf numFmtId="0" fontId="3" fillId="0" borderId="228" xfId="42" applyFont="1" applyBorder="1" applyProtection="1"/>
    <xf numFmtId="5" fontId="4" fillId="0" borderId="271" xfId="42" applyNumberFormat="1" applyFont="1" applyFill="1" applyBorder="1" applyAlignment="1" applyProtection="1">
      <alignment horizontal="center" vertical="top" wrapText="1"/>
    </xf>
    <xf numFmtId="37" fontId="3" fillId="0" borderId="228" xfId="42" applyNumberFormat="1" applyFont="1" applyBorder="1" applyAlignment="1" applyProtection="1">
      <alignment horizontal="center" vertical="top" wrapText="1"/>
    </xf>
    <xf numFmtId="37" fontId="3" fillId="0" borderId="212" xfId="42" applyNumberFormat="1" applyFont="1" applyBorder="1" applyAlignment="1" applyProtection="1">
      <alignment horizontal="center" vertical="top" wrapText="1"/>
    </xf>
    <xf numFmtId="37" fontId="3" fillId="0" borderId="182" xfId="11" applyNumberFormat="1" applyFont="1" applyFill="1" applyBorder="1" applyAlignment="1" applyProtection="1">
      <alignment horizontal="center" vertical="top" wrapText="1"/>
    </xf>
    <xf numFmtId="37" fontId="3" fillId="0" borderId="209" xfId="42" applyNumberFormat="1" applyFont="1" applyBorder="1" applyAlignment="1" applyProtection="1">
      <alignment horizontal="center" vertical="top" wrapText="1"/>
    </xf>
    <xf numFmtId="5" fontId="4" fillId="0" borderId="210" xfId="42" applyNumberFormat="1" applyFont="1" applyFill="1" applyBorder="1" applyAlignment="1" applyProtection="1">
      <alignment horizontal="center" vertical="top" wrapText="1"/>
    </xf>
    <xf numFmtId="37" fontId="3" fillId="0" borderId="182" xfId="42" applyNumberFormat="1" applyFont="1" applyBorder="1" applyAlignment="1" applyProtection="1">
      <alignment horizontal="center" vertical="top" wrapText="1"/>
    </xf>
    <xf numFmtId="49" fontId="3" fillId="0" borderId="182" xfId="42" applyNumberFormat="1" applyFont="1" applyBorder="1" applyAlignment="1" applyProtection="1">
      <alignment horizontal="center" vertical="top" wrapText="1"/>
    </xf>
    <xf numFmtId="37" fontId="3" fillId="0" borderId="182" xfId="11" applyNumberFormat="1" applyFont="1" applyBorder="1" applyAlignment="1" applyProtection="1">
      <alignment horizontal="center" vertical="top" wrapText="1"/>
    </xf>
    <xf numFmtId="0" fontId="4" fillId="0" borderId="62" xfId="42" applyFont="1" applyBorder="1" applyProtection="1"/>
    <xf numFmtId="5" fontId="4" fillId="0" borderId="63" xfId="42" applyNumberFormat="1" applyFont="1" applyBorder="1" applyAlignment="1" applyProtection="1">
      <alignment horizontal="center" vertical="top" wrapText="1"/>
    </xf>
    <xf numFmtId="5" fontId="4" fillId="0" borderId="50" xfId="11" applyNumberFormat="1" applyFont="1" applyBorder="1" applyAlignment="1" applyProtection="1">
      <alignment horizontal="center" vertical="top" wrapText="1"/>
    </xf>
    <xf numFmtId="0" fontId="3" fillId="0" borderId="56" xfId="42" applyFont="1" applyFill="1" applyBorder="1" applyProtection="1"/>
    <xf numFmtId="37" fontId="3" fillId="0" borderId="57" xfId="42" applyNumberFormat="1" applyFont="1" applyBorder="1" applyAlignment="1" applyProtection="1">
      <alignment horizontal="center" vertical="top" wrapText="1"/>
    </xf>
    <xf numFmtId="37" fontId="3" fillId="0" borderId="56" xfId="11" applyNumberFormat="1" applyFont="1" applyBorder="1" applyAlignment="1" applyProtection="1">
      <alignment horizontal="center" vertical="top" wrapText="1"/>
    </xf>
    <xf numFmtId="37" fontId="3" fillId="0" borderId="57" xfId="11" applyNumberFormat="1" applyFont="1" applyBorder="1" applyAlignment="1" applyProtection="1">
      <alignment horizontal="center" vertical="top" wrapText="1"/>
    </xf>
    <xf numFmtId="37" fontId="3" fillId="0" borderId="96" xfId="11" applyNumberFormat="1" applyFont="1" applyBorder="1" applyAlignment="1" applyProtection="1">
      <alignment horizontal="center" vertical="top" wrapText="1"/>
    </xf>
    <xf numFmtId="0" fontId="3" fillId="0" borderId="136" xfId="42" applyFont="1" applyBorder="1" applyProtection="1"/>
    <xf numFmtId="0" fontId="3" fillId="0" borderId="137" xfId="42" applyFont="1" applyBorder="1" applyProtection="1"/>
    <xf numFmtId="37" fontId="3" fillId="0" borderId="138" xfId="42" applyNumberFormat="1" applyFont="1" applyBorder="1" applyAlignment="1" applyProtection="1">
      <alignment horizontal="center" vertical="top" wrapText="1"/>
    </xf>
    <xf numFmtId="37" fontId="3" fillId="0" borderId="137" xfId="42" applyNumberFormat="1" applyFont="1" applyBorder="1" applyAlignment="1" applyProtection="1">
      <alignment horizontal="center" vertical="top" wrapText="1"/>
    </xf>
    <xf numFmtId="37" fontId="3" fillId="0" borderId="5" xfId="42" applyNumberFormat="1" applyFont="1" applyBorder="1" applyAlignment="1" applyProtection="1">
      <alignment horizontal="center" vertical="top" wrapText="1"/>
    </xf>
    <xf numFmtId="0" fontId="4" fillId="0" borderId="139" xfId="42" applyFont="1" applyBorder="1" applyProtection="1"/>
    <xf numFmtId="0" fontId="4" fillId="0" borderId="140" xfId="42" applyFont="1" applyBorder="1" applyProtection="1"/>
    <xf numFmtId="167" fontId="4" fillId="0" borderId="141" xfId="42" applyNumberFormat="1" applyFont="1" applyBorder="1" applyAlignment="1" applyProtection="1">
      <alignment horizontal="center" vertical="top" wrapText="1"/>
    </xf>
    <xf numFmtId="167" fontId="4" fillId="0" borderId="140" xfId="42" applyNumberFormat="1" applyFont="1" applyBorder="1" applyAlignment="1" applyProtection="1">
      <alignment horizontal="center" vertical="top" wrapText="1"/>
    </xf>
    <xf numFmtId="0" fontId="3" fillId="0" borderId="68" xfId="42" applyFont="1" applyBorder="1" applyAlignment="1" applyProtection="1">
      <alignment horizontal="center" vertical="top" wrapText="1"/>
    </xf>
    <xf numFmtId="0" fontId="3" fillId="0" borderId="67" xfId="42" applyFont="1" applyBorder="1" applyAlignment="1" applyProtection="1">
      <alignment horizontal="center" vertical="top" wrapText="1"/>
    </xf>
    <xf numFmtId="0" fontId="3" fillId="0" borderId="142" xfId="42" applyFont="1" applyBorder="1" applyAlignment="1" applyProtection="1">
      <alignment horizontal="center" vertical="top" wrapText="1"/>
    </xf>
    <xf numFmtId="0" fontId="3" fillId="0" borderId="52" xfId="42" applyFont="1" applyBorder="1" applyAlignment="1" applyProtection="1">
      <alignment horizontal="center" vertical="top" wrapText="1"/>
    </xf>
    <xf numFmtId="3" fontId="3" fillId="0" borderId="51" xfId="42" applyNumberFormat="1" applyFont="1" applyBorder="1" applyAlignment="1" applyProtection="1">
      <alignment horizontal="center" vertical="top" wrapText="1"/>
    </xf>
    <xf numFmtId="0" fontId="3" fillId="0" borderId="143" xfId="42" applyFont="1" applyBorder="1" applyAlignment="1" applyProtection="1">
      <alignment horizontal="center" vertical="top" wrapText="1"/>
    </xf>
    <xf numFmtId="0" fontId="3" fillId="0" borderId="51" xfId="42" applyFont="1" applyBorder="1" applyAlignment="1" applyProtection="1">
      <alignment horizontal="center" vertical="top" wrapText="1"/>
    </xf>
    <xf numFmtId="0" fontId="3" fillId="0" borderId="74" xfId="42" applyFont="1" applyBorder="1" applyAlignment="1" applyProtection="1">
      <alignment horizontal="center" vertical="top" wrapText="1"/>
    </xf>
    <xf numFmtId="0" fontId="3" fillId="0" borderId="73" xfId="42" applyFont="1" applyBorder="1" applyAlignment="1" applyProtection="1">
      <alignment horizontal="center" vertical="top" wrapText="1"/>
    </xf>
    <xf numFmtId="0" fontId="3" fillId="0" borderId="121" xfId="42" applyFont="1" applyBorder="1" applyAlignment="1" applyProtection="1">
      <alignment horizontal="center" vertical="top" wrapText="1"/>
    </xf>
    <xf numFmtId="0" fontId="3" fillId="0" borderId="104" xfId="42" applyFont="1" applyBorder="1" applyAlignment="1" applyProtection="1">
      <alignment horizontal="center" vertical="top" wrapText="1"/>
    </xf>
    <xf numFmtId="0" fontId="3" fillId="0" borderId="103" xfId="42" applyFont="1" applyBorder="1" applyAlignment="1" applyProtection="1">
      <alignment horizontal="center" vertical="top" wrapText="1"/>
    </xf>
    <xf numFmtId="0" fontId="3" fillId="0" borderId="144" xfId="42" applyFont="1" applyBorder="1" applyAlignment="1" applyProtection="1">
      <alignment horizontal="center" vertical="top" wrapText="1"/>
    </xf>
    <xf numFmtId="0" fontId="3" fillId="0" borderId="180" xfId="42" applyFont="1" applyBorder="1" applyAlignment="1" applyProtection="1">
      <alignment horizontal="center" vertical="top" wrapText="1"/>
    </xf>
    <xf numFmtId="0" fontId="3" fillId="0" borderId="218" xfId="42" applyFont="1" applyBorder="1" applyAlignment="1" applyProtection="1">
      <alignment horizontal="center" vertical="top" wrapText="1"/>
    </xf>
    <xf numFmtId="0" fontId="3" fillId="0" borderId="181" xfId="42" applyFont="1" applyBorder="1" applyAlignment="1" applyProtection="1">
      <alignment horizontal="center" vertical="top" wrapText="1"/>
    </xf>
    <xf numFmtId="0" fontId="3" fillId="0" borderId="182" xfId="42" applyFont="1" applyBorder="1" applyAlignment="1" applyProtection="1">
      <alignment horizontal="center" vertical="top" wrapText="1"/>
    </xf>
    <xf numFmtId="0" fontId="3" fillId="0" borderId="212" xfId="42" applyFont="1" applyBorder="1" applyAlignment="1" applyProtection="1">
      <alignment horizontal="center" vertical="top" wrapText="1"/>
    </xf>
    <xf numFmtId="0" fontId="3" fillId="0" borderId="184" xfId="42" applyFont="1" applyBorder="1" applyAlignment="1" applyProtection="1">
      <alignment horizontal="center" vertical="top" wrapText="1"/>
    </xf>
    <xf numFmtId="0" fontId="3" fillId="0" borderId="216" xfId="42" applyFont="1" applyFill="1" applyBorder="1" applyProtection="1"/>
    <xf numFmtId="37" fontId="3" fillId="0" borderId="185" xfId="42" applyNumberFormat="1" applyFont="1" applyBorder="1" applyAlignment="1" applyProtection="1">
      <alignment horizontal="center" vertical="top" wrapText="1"/>
    </xf>
    <xf numFmtId="37" fontId="3" fillId="0" borderId="217" xfId="42" applyNumberFormat="1" applyFont="1" applyBorder="1" applyAlignment="1" applyProtection="1">
      <alignment horizontal="center" vertical="top" wrapText="1"/>
    </xf>
    <xf numFmtId="37" fontId="3" fillId="0" borderId="187" xfId="42" applyNumberFormat="1" applyFont="1" applyBorder="1" applyAlignment="1" applyProtection="1">
      <alignment horizontal="center" vertical="top" wrapText="1"/>
    </xf>
    <xf numFmtId="0" fontId="3" fillId="0" borderId="135" xfId="42" applyFont="1" applyFill="1" applyBorder="1"/>
    <xf numFmtId="0" fontId="3" fillId="0" borderId="0" xfId="42" applyFont="1" applyFill="1" applyAlignment="1" applyProtection="1">
      <alignment horizontal="left"/>
    </xf>
    <xf numFmtId="0" fontId="4" fillId="0" borderId="0" xfId="42" applyFont="1" applyFill="1" applyProtection="1"/>
    <xf numFmtId="0" fontId="3" fillId="0" borderId="0" xfId="42" applyFont="1" applyFill="1" applyProtection="1"/>
    <xf numFmtId="0" fontId="3" fillId="0" borderId="53" xfId="42" applyFont="1" applyFill="1" applyBorder="1" applyProtection="1"/>
    <xf numFmtId="37" fontId="3" fillId="0" borderId="107" xfId="42" applyNumberFormat="1" applyFont="1" applyFill="1" applyBorder="1" applyAlignment="1" applyProtection="1">
      <alignment horizontal="center" vertical="top" wrapText="1"/>
    </xf>
    <xf numFmtId="37" fontId="3" fillId="0" borderId="108" xfId="42" applyNumberFormat="1" applyFont="1" applyFill="1" applyBorder="1" applyAlignment="1" applyProtection="1">
      <alignment horizontal="center" vertical="top" wrapText="1"/>
    </xf>
    <xf numFmtId="0" fontId="3" fillId="0" borderId="45" xfId="42" applyFont="1" applyFill="1" applyBorder="1" applyProtection="1"/>
    <xf numFmtId="0" fontId="3" fillId="0" borderId="58" xfId="42" applyFont="1" applyFill="1" applyBorder="1" applyProtection="1"/>
    <xf numFmtId="0" fontId="3" fillId="0" borderId="59" xfId="42" applyFont="1" applyFill="1" applyBorder="1" applyProtection="1"/>
    <xf numFmtId="37" fontId="3" fillId="0" borderId="109" xfId="42" applyNumberFormat="1" applyFont="1" applyFill="1" applyBorder="1" applyAlignment="1" applyProtection="1">
      <alignment horizontal="center" vertical="top" wrapText="1"/>
    </xf>
    <xf numFmtId="0" fontId="3" fillId="0" borderId="99" xfId="42" applyFont="1" applyFill="1" applyBorder="1" applyProtection="1"/>
    <xf numFmtId="0" fontId="3" fillId="0" borderId="100" xfId="42" applyFont="1" applyFill="1" applyBorder="1" applyProtection="1"/>
    <xf numFmtId="37" fontId="3" fillId="0" borderId="125" xfId="42" applyNumberFormat="1" applyFont="1" applyFill="1" applyBorder="1" applyAlignment="1" applyProtection="1">
      <alignment horizontal="center" vertical="top" wrapText="1"/>
    </xf>
    <xf numFmtId="0" fontId="3" fillId="0" borderId="64" xfId="42" applyFont="1" applyFill="1" applyBorder="1" applyProtection="1"/>
    <xf numFmtId="37" fontId="3" fillId="0" borderId="57" xfId="11" applyNumberFormat="1" applyFont="1" applyFill="1" applyBorder="1" applyAlignment="1" applyProtection="1">
      <alignment horizontal="center" vertical="top" wrapText="1"/>
    </xf>
    <xf numFmtId="0" fontId="3" fillId="0" borderId="69" xfId="42" applyFont="1" applyFill="1" applyBorder="1" applyProtection="1"/>
    <xf numFmtId="0" fontId="3" fillId="0" borderId="70" xfId="42" applyFont="1" applyFill="1" applyBorder="1" applyProtection="1"/>
    <xf numFmtId="37" fontId="3" fillId="0" borderId="71" xfId="11" applyNumberFormat="1" applyFont="1" applyFill="1" applyBorder="1" applyAlignment="1" applyProtection="1">
      <alignment horizontal="center" vertical="top" wrapText="1"/>
    </xf>
    <xf numFmtId="37" fontId="3" fillId="0" borderId="123" xfId="42" applyNumberFormat="1" applyFont="1" applyFill="1" applyBorder="1" applyAlignment="1" applyProtection="1">
      <alignment horizontal="center" vertical="top" wrapText="1"/>
    </xf>
    <xf numFmtId="0" fontId="4" fillId="0" borderId="222" xfId="42" applyFont="1" applyFill="1" applyBorder="1" applyProtection="1"/>
    <xf numFmtId="0" fontId="3" fillId="0" borderId="223" xfId="42" applyFont="1" applyFill="1" applyBorder="1" applyProtection="1"/>
    <xf numFmtId="37" fontId="3" fillId="0" borderId="320" xfId="42" applyNumberFormat="1" applyFont="1" applyFill="1" applyBorder="1" applyAlignment="1" applyProtection="1">
      <alignment horizontal="center" vertical="top" wrapText="1"/>
    </xf>
    <xf numFmtId="0" fontId="3" fillId="0" borderId="211" xfId="42" applyFont="1" applyFill="1" applyBorder="1" applyProtection="1"/>
    <xf numFmtId="5" fontId="4" fillId="0" borderId="184" xfId="42" applyNumberFormat="1" applyFont="1" applyFill="1" applyBorder="1" applyAlignment="1" applyProtection="1">
      <alignment horizontal="center" vertical="top" wrapText="1"/>
    </xf>
    <xf numFmtId="5" fontId="3" fillId="0" borderId="184" xfId="42" applyNumberFormat="1" applyFont="1" applyFill="1" applyBorder="1" applyAlignment="1" applyProtection="1">
      <alignment horizontal="center" vertical="top" wrapText="1"/>
    </xf>
    <xf numFmtId="5" fontId="3" fillId="0" borderId="182" xfId="42" applyNumberFormat="1" applyFont="1" applyFill="1" applyBorder="1" applyAlignment="1" applyProtection="1">
      <alignment horizontal="center" vertical="top" wrapText="1"/>
    </xf>
    <xf numFmtId="0" fontId="3" fillId="0" borderId="321" xfId="42" applyFont="1" applyFill="1" applyBorder="1" applyProtection="1"/>
    <xf numFmtId="0" fontId="3" fillId="0" borderId="225" xfId="42" applyFont="1" applyFill="1" applyBorder="1" applyProtection="1"/>
    <xf numFmtId="37" fontId="3" fillId="0" borderId="226" xfId="42" applyNumberFormat="1" applyFont="1" applyFill="1" applyBorder="1" applyAlignment="1" applyProtection="1">
      <alignment horizontal="center" vertical="top" wrapText="1"/>
    </xf>
    <xf numFmtId="37" fontId="3" fillId="0" borderId="322" xfId="42" applyNumberFormat="1" applyFont="1" applyFill="1" applyBorder="1" applyAlignment="1" applyProtection="1">
      <alignment horizontal="center" vertical="top" wrapText="1"/>
    </xf>
    <xf numFmtId="0" fontId="3" fillId="0" borderId="101" xfId="42" applyFont="1" applyFill="1" applyBorder="1" applyAlignment="1" applyProtection="1">
      <alignment horizontal="center" vertical="top" wrapText="1"/>
    </xf>
    <xf numFmtId="0" fontId="3" fillId="0" borderId="100" xfId="42" applyFont="1" applyFill="1" applyBorder="1" applyAlignment="1" applyProtection="1">
      <alignment horizontal="center" vertical="top" wrapText="1"/>
    </xf>
    <xf numFmtId="0" fontId="3" fillId="0" borderId="65" xfId="42" applyFont="1" applyFill="1" applyBorder="1" applyProtection="1"/>
    <xf numFmtId="0" fontId="3" fillId="0" borderId="60" xfId="42" applyFont="1" applyFill="1" applyBorder="1" applyAlignment="1" applyProtection="1">
      <alignment horizontal="center" vertical="top" wrapText="1"/>
    </xf>
    <xf numFmtId="0" fontId="3" fillId="0" borderId="59" xfId="42" applyFont="1" applyFill="1" applyBorder="1" applyAlignment="1" applyProtection="1">
      <alignment horizontal="center" vertical="top" wrapText="1"/>
    </xf>
    <xf numFmtId="0" fontId="10" fillId="0" borderId="72" xfId="42" applyFont="1" applyFill="1" applyBorder="1" applyProtection="1"/>
    <xf numFmtId="0" fontId="3" fillId="0" borderId="73" xfId="42" applyFont="1" applyFill="1" applyBorder="1" applyProtection="1"/>
    <xf numFmtId="0" fontId="3" fillId="0" borderId="142" xfId="42" applyFont="1" applyFill="1" applyBorder="1" applyAlignment="1" applyProtection="1">
      <alignment horizontal="center" vertical="top" wrapText="1"/>
    </xf>
    <xf numFmtId="0" fontId="3" fillId="0" borderId="0" xfId="42" applyBorder="1" applyAlignment="1">
      <alignment vertical="top"/>
    </xf>
    <xf numFmtId="0" fontId="3" fillId="0" borderId="0" xfId="42" applyBorder="1" applyAlignment="1" applyProtection="1">
      <alignment horizontal="center" vertical="top"/>
    </xf>
    <xf numFmtId="37" fontId="3" fillId="0" borderId="121" xfId="42" applyNumberFormat="1" applyFont="1" applyFill="1" applyBorder="1" applyAlignment="1" applyProtection="1">
      <alignment horizontal="center" vertical="top" wrapText="1"/>
    </xf>
    <xf numFmtId="0" fontId="3" fillId="0" borderId="77" xfId="42" applyFont="1" applyFill="1" applyBorder="1" applyProtection="1"/>
    <xf numFmtId="0" fontId="3" fillId="0" borderId="51" xfId="42" applyFont="1" applyFill="1" applyBorder="1" applyAlignment="1" applyProtection="1">
      <alignment horizontal="centerContinuous"/>
    </xf>
    <xf numFmtId="37" fontId="3" fillId="0" borderId="143" xfId="42" applyNumberFormat="1" applyFont="1" applyFill="1" applyBorder="1" applyAlignment="1" applyProtection="1">
      <alignment horizontal="center" vertical="top" wrapText="1"/>
    </xf>
    <xf numFmtId="37" fontId="3" fillId="0" borderId="60" xfId="47" applyNumberFormat="1" applyFont="1" applyFill="1" applyBorder="1" applyAlignment="1" applyProtection="1">
      <alignment horizontal="center" vertical="top" wrapText="1"/>
    </xf>
    <xf numFmtId="0" fontId="3" fillId="0" borderId="9" xfId="42" applyFont="1" applyFill="1" applyBorder="1" applyProtection="1"/>
    <xf numFmtId="0" fontId="3" fillId="0" borderId="78" xfId="42" applyFont="1" applyFill="1" applyBorder="1" applyProtection="1"/>
    <xf numFmtId="37" fontId="3" fillId="0" borderId="145" xfId="42" applyNumberFormat="1" applyFont="1" applyFill="1" applyBorder="1" applyAlignment="1" applyProtection="1">
      <alignment horizontal="center" vertical="top" wrapText="1"/>
    </xf>
    <xf numFmtId="37" fontId="3" fillId="0" borderId="146" xfId="42" applyNumberFormat="1" applyFont="1" applyFill="1" applyBorder="1" applyAlignment="1" applyProtection="1">
      <alignment horizontal="center" vertical="top" wrapText="1"/>
    </xf>
    <xf numFmtId="0" fontId="3" fillId="0" borderId="11" xfId="42" applyFont="1" applyFill="1" applyBorder="1" applyProtection="1"/>
    <xf numFmtId="0" fontId="3" fillId="0" borderId="67" xfId="42" applyFont="1" applyFill="1" applyBorder="1"/>
    <xf numFmtId="37" fontId="4" fillId="0" borderId="147" xfId="42" applyNumberFormat="1" applyFont="1" applyFill="1" applyBorder="1" applyAlignment="1" applyProtection="1">
      <alignment horizontal="center" vertical="top" wrapText="1"/>
    </xf>
    <xf numFmtId="37" fontId="4" fillId="0" borderId="67" xfId="42" applyNumberFormat="1" applyFont="1" applyFill="1" applyBorder="1" applyAlignment="1" applyProtection="1">
      <alignment horizontal="center" vertical="top" wrapText="1"/>
    </xf>
    <xf numFmtId="37" fontId="3" fillId="0" borderId="142" xfId="42" applyNumberFormat="1" applyFont="1" applyFill="1" applyBorder="1" applyAlignment="1" applyProtection="1">
      <alignment horizontal="center" vertical="top" wrapText="1"/>
    </xf>
    <xf numFmtId="37" fontId="3" fillId="0" borderId="148" xfId="42" applyNumberFormat="1" applyFont="1" applyFill="1" applyBorder="1" applyAlignment="1" applyProtection="1">
      <alignment horizontal="center" vertical="top" wrapText="1"/>
    </xf>
    <xf numFmtId="0" fontId="3" fillId="0" borderId="214" xfId="42" applyFont="1" applyBorder="1"/>
    <xf numFmtId="0" fontId="4" fillId="0" borderId="215" xfId="42" applyFont="1" applyBorder="1" applyProtection="1"/>
    <xf numFmtId="37" fontId="3" fillId="0" borderId="209" xfId="42" quotePrefix="1" applyNumberFormat="1" applyFont="1" applyFill="1" applyBorder="1" applyAlignment="1" applyProtection="1">
      <alignment horizontal="center" vertical="top" wrapText="1"/>
    </xf>
    <xf numFmtId="3" fontId="3" fillId="0" borderId="175" xfId="42" applyNumberFormat="1" applyFont="1" applyFill="1" applyBorder="1" applyAlignment="1" applyProtection="1">
      <alignment horizontal="center" vertical="top" wrapText="1"/>
    </xf>
    <xf numFmtId="3" fontId="3" fillId="0" borderId="214" xfId="42" applyNumberFormat="1" applyFont="1" applyFill="1" applyBorder="1" applyAlignment="1" applyProtection="1">
      <alignment horizontal="center" vertical="top" wrapText="1"/>
    </xf>
    <xf numFmtId="3" fontId="3" fillId="0" borderId="200" xfId="42" applyNumberFormat="1" applyFont="1" applyFill="1" applyBorder="1" applyAlignment="1" applyProtection="1">
      <alignment horizontal="center" vertical="top" wrapText="1"/>
    </xf>
    <xf numFmtId="0" fontId="3" fillId="0" borderId="323" xfId="42" applyFont="1" applyBorder="1" applyProtection="1"/>
    <xf numFmtId="0" fontId="3" fillId="0" borderId="324" xfId="42" applyFont="1" applyFill="1" applyBorder="1" applyProtection="1"/>
    <xf numFmtId="3" fontId="3" fillId="0" borderId="325" xfId="11" applyNumberFormat="1" applyFont="1" applyFill="1" applyBorder="1" applyAlignment="1" applyProtection="1">
      <alignment horizontal="center" vertical="top" wrapText="1"/>
    </xf>
    <xf numFmtId="3" fontId="3" fillId="0" borderId="324" xfId="42" applyNumberFormat="1" applyFont="1" applyFill="1" applyBorder="1" applyAlignment="1" applyProtection="1">
      <alignment horizontal="center" vertical="top" wrapText="1"/>
    </xf>
    <xf numFmtId="0" fontId="4" fillId="0" borderId="272" xfId="47" applyFont="1" applyBorder="1" applyAlignment="1" applyProtection="1">
      <alignment vertical="top"/>
    </xf>
    <xf numFmtId="0" fontId="3" fillId="0" borderId="273" xfId="47" applyFont="1" applyBorder="1" applyAlignment="1" applyProtection="1">
      <alignment vertical="top"/>
    </xf>
    <xf numFmtId="5" fontId="4" fillId="0" borderId="274" xfId="47" applyNumberFormat="1" applyFont="1" applyFill="1" applyBorder="1" applyAlignment="1" applyProtection="1">
      <alignment horizontal="center" vertical="top" wrapText="1"/>
    </xf>
    <xf numFmtId="5" fontId="4" fillId="0" borderId="275" xfId="47" applyNumberFormat="1" applyFont="1" applyFill="1" applyBorder="1" applyAlignment="1" applyProtection="1">
      <alignment horizontal="center" vertical="top" wrapText="1"/>
    </xf>
    <xf numFmtId="5" fontId="4" fillId="0" borderId="276" xfId="47" applyNumberFormat="1" applyFont="1" applyFill="1" applyBorder="1" applyAlignment="1" applyProtection="1">
      <alignment horizontal="center" vertical="top" wrapText="1"/>
    </xf>
    <xf numFmtId="5" fontId="4" fillId="0" borderId="277" xfId="47" applyNumberFormat="1" applyFont="1" applyFill="1" applyBorder="1" applyAlignment="1" applyProtection="1">
      <alignment horizontal="center" vertical="top" wrapText="1"/>
    </xf>
    <xf numFmtId="0" fontId="4" fillId="0" borderId="278" xfId="47" applyFont="1" applyBorder="1" applyAlignment="1" applyProtection="1">
      <alignment vertical="top"/>
    </xf>
    <xf numFmtId="0" fontId="3" fillId="0" borderId="279" xfId="47" applyFont="1" applyBorder="1" applyAlignment="1" applyProtection="1">
      <alignment vertical="top"/>
    </xf>
    <xf numFmtId="5" fontId="4" fillId="0" borderId="280" xfId="47" applyNumberFormat="1" applyFont="1" applyFill="1" applyBorder="1" applyAlignment="1" applyProtection="1">
      <alignment horizontal="center" vertical="top" wrapText="1"/>
    </xf>
    <xf numFmtId="5" fontId="4" fillId="0" borderId="281" xfId="47" applyNumberFormat="1" applyFont="1" applyFill="1" applyBorder="1" applyAlignment="1" applyProtection="1">
      <alignment horizontal="center" vertical="top" wrapText="1"/>
    </xf>
    <xf numFmtId="5" fontId="4" fillId="0" borderId="282" xfId="47" applyNumberFormat="1" applyFont="1" applyFill="1" applyBorder="1" applyAlignment="1" applyProtection="1">
      <alignment horizontal="center" vertical="top" wrapText="1"/>
    </xf>
    <xf numFmtId="5" fontId="4" fillId="0" borderId="283" xfId="47" applyNumberFormat="1" applyFont="1" applyFill="1" applyBorder="1" applyAlignment="1" applyProtection="1">
      <alignment horizontal="center" vertical="top" wrapText="1"/>
    </xf>
    <xf numFmtId="0" fontId="3" fillId="0" borderId="62" xfId="45" applyFont="1" applyFill="1" applyBorder="1"/>
    <xf numFmtId="0" fontId="3" fillId="0" borderId="50" xfId="45" applyFont="1" applyBorder="1" applyAlignment="1" applyProtection="1">
      <alignment horizontal="left"/>
    </xf>
    <xf numFmtId="37" fontId="3" fillId="0" borderId="63" xfId="45" applyNumberFormat="1" applyFont="1" applyFill="1" applyBorder="1" applyAlignment="1" applyProtection="1">
      <alignment horizontal="center" vertical="top" wrapText="1"/>
    </xf>
    <xf numFmtId="37" fontId="3" fillId="0" borderId="93" xfId="45" applyNumberFormat="1" applyFont="1" applyFill="1" applyBorder="1" applyAlignment="1" applyProtection="1">
      <alignment horizontal="center" vertical="top" wrapText="1"/>
    </xf>
    <xf numFmtId="37" fontId="3" fillId="0" borderId="94" xfId="45" applyNumberFormat="1" applyFont="1" applyFill="1" applyBorder="1" applyAlignment="1" applyProtection="1">
      <alignment horizontal="center" vertical="top" wrapText="1"/>
    </xf>
    <xf numFmtId="0" fontId="3" fillId="0" borderId="64" xfId="45" applyFont="1" applyFill="1" applyBorder="1"/>
    <xf numFmtId="0" fontId="3" fillId="0" borderId="56" xfId="45" applyFont="1" applyBorder="1" applyAlignment="1" applyProtection="1">
      <alignment horizontal="left"/>
    </xf>
    <xf numFmtId="37" fontId="3" fillId="0" borderId="57" xfId="45" applyNumberFormat="1" applyFont="1" applyFill="1" applyBorder="1" applyAlignment="1" applyProtection="1">
      <alignment horizontal="center" vertical="top" wrapText="1"/>
    </xf>
    <xf numFmtId="37" fontId="3" fillId="0" borderId="95" xfId="45" applyNumberFormat="1" applyFont="1" applyFill="1" applyBorder="1" applyAlignment="1" applyProtection="1">
      <alignment horizontal="center" vertical="top" wrapText="1"/>
    </xf>
    <xf numFmtId="37" fontId="3" fillId="0" borderId="96" xfId="45" applyNumberFormat="1" applyFont="1" applyFill="1" applyBorder="1" applyAlignment="1" applyProtection="1">
      <alignment horizontal="center" vertical="top" wrapText="1"/>
    </xf>
    <xf numFmtId="0" fontId="3" fillId="0" borderId="80" xfId="45" applyFont="1" applyFill="1" applyBorder="1"/>
    <xf numFmtId="0" fontId="3" fillId="0" borderId="81" xfId="45" applyFont="1" applyBorder="1" applyAlignment="1" applyProtection="1">
      <alignment horizontal="left"/>
    </xf>
    <xf numFmtId="37" fontId="3" fillId="0" borderId="82" xfId="45" applyNumberFormat="1" applyFont="1" applyFill="1" applyBorder="1" applyAlignment="1" applyProtection="1">
      <alignment horizontal="center" vertical="top" wrapText="1"/>
    </xf>
    <xf numFmtId="37" fontId="3" fillId="0" borderId="97" xfId="45" applyNumberFormat="1" applyFont="1" applyFill="1" applyBorder="1" applyAlignment="1" applyProtection="1">
      <alignment horizontal="center" vertical="top" wrapText="1"/>
    </xf>
    <xf numFmtId="37" fontId="3" fillId="0" borderId="98" xfId="45" applyNumberFormat="1" applyFont="1" applyFill="1" applyBorder="1" applyAlignment="1" applyProtection="1">
      <alignment horizontal="center" vertical="top" wrapText="1"/>
    </xf>
    <xf numFmtId="37" fontId="3" fillId="0" borderId="56" xfId="42" quotePrefix="1" applyNumberFormat="1" applyFont="1" applyFill="1" applyBorder="1" applyAlignment="1" applyProtection="1">
      <alignment horizontal="center" vertical="top" wrapText="1"/>
    </xf>
    <xf numFmtId="37" fontId="3" fillId="0" borderId="38" xfId="42" applyNumberFormat="1" applyFont="1" applyFill="1" applyBorder="1" applyAlignment="1" applyProtection="1">
      <alignment horizontal="center" vertical="top" wrapText="1"/>
    </xf>
    <xf numFmtId="37" fontId="3" fillId="0" borderId="28" xfId="42" applyNumberFormat="1" applyFont="1" applyFill="1" applyBorder="1" applyAlignment="1" applyProtection="1">
      <alignment horizontal="center" vertical="top" wrapText="1"/>
    </xf>
    <xf numFmtId="37" fontId="4" fillId="0" borderId="29" xfId="42" applyNumberFormat="1" applyFont="1" applyFill="1" applyBorder="1" applyAlignment="1" applyProtection="1">
      <alignment horizontal="center" vertical="top" wrapText="1"/>
    </xf>
    <xf numFmtId="37" fontId="3" fillId="0" borderId="326" xfId="42" applyNumberFormat="1" applyFont="1" applyFill="1" applyBorder="1" applyAlignment="1" applyProtection="1">
      <alignment horizontal="center" vertical="top" wrapText="1"/>
    </xf>
    <xf numFmtId="37" fontId="3" fillId="0" borderId="220" xfId="42" applyNumberFormat="1" applyFont="1" applyFill="1" applyBorder="1" applyAlignment="1" applyProtection="1">
      <alignment horizontal="center" vertical="top" wrapText="1"/>
    </xf>
    <xf numFmtId="37" fontId="3" fillId="0" borderId="327" xfId="42" applyNumberFormat="1" applyFont="1" applyFill="1" applyBorder="1" applyAlignment="1" applyProtection="1">
      <alignment horizontal="center" vertical="top" wrapText="1"/>
    </xf>
    <xf numFmtId="37" fontId="3" fillId="0" borderId="328" xfId="42" applyNumberFormat="1" applyFont="1" applyFill="1" applyBorder="1" applyAlignment="1" applyProtection="1">
      <alignment horizontal="center" vertical="top" wrapText="1"/>
    </xf>
    <xf numFmtId="37" fontId="3" fillId="0" borderId="221" xfId="42" applyNumberFormat="1" applyFont="1" applyFill="1" applyBorder="1" applyAlignment="1" applyProtection="1">
      <alignment horizontal="center" vertical="top" wrapText="1"/>
    </xf>
    <xf numFmtId="0" fontId="3" fillId="0" borderId="0" xfId="42" applyAlignment="1">
      <alignment horizontal="center" vertical="top" wrapText="1"/>
    </xf>
    <xf numFmtId="37" fontId="3" fillId="0" borderId="329" xfId="42" applyNumberFormat="1" applyFont="1" applyFill="1" applyBorder="1" applyAlignment="1" applyProtection="1">
      <alignment horizontal="center" vertical="top" wrapText="1"/>
    </xf>
    <xf numFmtId="0" fontId="3" fillId="0" borderId="203" xfId="42" applyFont="1" applyBorder="1" applyProtection="1"/>
    <xf numFmtId="37" fontId="3" fillId="0" borderId="271" xfId="42" applyNumberFormat="1" applyFont="1" applyFill="1" applyBorder="1" applyAlignment="1" applyProtection="1">
      <alignment horizontal="center" vertical="top" wrapText="1"/>
    </xf>
    <xf numFmtId="0" fontId="43" fillId="0" borderId="215" xfId="46" applyFont="1" applyBorder="1" applyAlignment="1" applyProtection="1">
      <alignment vertical="top"/>
    </xf>
    <xf numFmtId="0" fontId="3" fillId="0" borderId="238" xfId="42" applyFont="1" applyBorder="1" applyProtection="1"/>
    <xf numFmtId="0" fontId="3" fillId="0" borderId="239" xfId="42" applyFont="1" applyBorder="1" applyProtection="1"/>
    <xf numFmtId="37" fontId="3" fillId="0" borderId="330" xfId="42" applyNumberFormat="1" applyFont="1" applyFill="1" applyBorder="1" applyAlignment="1" applyProtection="1">
      <alignment horizontal="center" vertical="top" wrapText="1"/>
    </xf>
    <xf numFmtId="37" fontId="3" fillId="0" borderId="239" xfId="42" applyNumberFormat="1" applyFont="1" applyFill="1" applyBorder="1" applyAlignment="1" applyProtection="1">
      <alignment horizontal="center" vertical="top" wrapText="1"/>
    </xf>
    <xf numFmtId="37" fontId="3" fillId="0" borderId="240" xfId="42" applyNumberFormat="1" applyFont="1" applyFill="1" applyBorder="1" applyAlignment="1" applyProtection="1">
      <alignment horizontal="center" vertical="top" wrapText="1"/>
    </xf>
    <xf numFmtId="37" fontId="3" fillId="0" borderId="241" xfId="42" applyNumberFormat="1" applyFont="1" applyFill="1" applyBorder="1" applyAlignment="1" applyProtection="1">
      <alignment horizontal="center" vertical="top" wrapText="1"/>
    </xf>
    <xf numFmtId="0" fontId="3" fillId="0" borderId="209" xfId="42" applyFont="1" applyFill="1" applyBorder="1" applyAlignment="1" applyProtection="1">
      <alignment vertical="top"/>
    </xf>
    <xf numFmtId="165" fontId="3" fillId="0" borderId="246" xfId="11" applyNumberFormat="1" applyFont="1" applyFill="1" applyBorder="1" applyAlignment="1" applyProtection="1">
      <alignment horizontal="center" vertical="top" wrapText="1"/>
    </xf>
    <xf numFmtId="165" fontId="3" fillId="0" borderId="219" xfId="11" applyNumberFormat="1" applyFont="1" applyFill="1" applyBorder="1" applyAlignment="1" applyProtection="1">
      <alignment horizontal="center" vertical="top" wrapText="1"/>
    </xf>
    <xf numFmtId="37" fontId="3" fillId="7" borderId="209" xfId="42" applyNumberFormat="1" applyFont="1" applyFill="1" applyBorder="1" applyAlignment="1" applyProtection="1">
      <alignment horizontal="center" vertical="top" wrapText="1"/>
    </xf>
    <xf numFmtId="37" fontId="3" fillId="0" borderId="247" xfId="42" applyNumberFormat="1" applyFont="1" applyFill="1" applyBorder="1" applyAlignment="1" applyProtection="1">
      <alignment horizontal="center" vertical="top" wrapText="1"/>
    </xf>
    <xf numFmtId="0" fontId="3" fillId="0" borderId="174" xfId="42" applyFont="1" applyBorder="1" applyAlignment="1" applyProtection="1">
      <alignment vertical="top"/>
    </xf>
    <xf numFmtId="5" fontId="5" fillId="0" borderId="248" xfId="42" applyNumberFormat="1" applyFont="1" applyFill="1" applyBorder="1" applyAlignment="1" applyProtection="1">
      <alignment horizontal="center" vertical="top" wrapText="1"/>
    </xf>
    <xf numFmtId="37" fontId="3" fillId="0" borderId="248" xfId="3" applyNumberFormat="1" applyFont="1" applyFill="1" applyBorder="1" applyAlignment="1" applyProtection="1">
      <alignment horizontal="center" vertical="top" wrapText="1"/>
    </xf>
    <xf numFmtId="0" fontId="3" fillId="0" borderId="190" xfId="42" applyFont="1" applyBorder="1" applyAlignment="1" applyProtection="1">
      <alignment vertical="top"/>
    </xf>
    <xf numFmtId="0" fontId="3" fillId="0" borderId="214" xfId="42" applyFont="1" applyBorder="1" applyAlignment="1" applyProtection="1">
      <alignment vertical="top"/>
    </xf>
    <xf numFmtId="37" fontId="3" fillId="7" borderId="214" xfId="42" applyNumberFormat="1" applyFont="1" applyFill="1" applyBorder="1" applyAlignment="1" applyProtection="1">
      <alignment horizontal="center" vertical="top" wrapText="1"/>
    </xf>
    <xf numFmtId="37" fontId="4" fillId="0" borderId="0" xfId="42" applyNumberFormat="1" applyFont="1" applyBorder="1" applyAlignment="1" applyProtection="1">
      <alignment horizontal="center"/>
    </xf>
    <xf numFmtId="0" fontId="4" fillId="0" borderId="0" xfId="42" applyFont="1" applyBorder="1" applyAlignment="1" applyProtection="1">
      <alignment horizontal="center"/>
    </xf>
    <xf numFmtId="0" fontId="4" fillId="0" borderId="0" xfId="42" applyFont="1" applyBorder="1"/>
    <xf numFmtId="14" fontId="5" fillId="0" borderId="188" xfId="42" applyNumberFormat="1" applyFont="1" applyFill="1" applyBorder="1" applyAlignment="1" applyProtection="1">
      <alignment horizontal="center" vertical="top" wrapText="1"/>
    </xf>
    <xf numFmtId="14" fontId="3" fillId="0" borderId="243" xfId="42" applyNumberFormat="1" applyFont="1" applyFill="1" applyBorder="1" applyAlignment="1" applyProtection="1">
      <alignment horizontal="center" vertical="top" wrapText="1"/>
    </xf>
    <xf numFmtId="14" fontId="3" fillId="0" borderId="214" xfId="42" applyNumberFormat="1" applyFont="1" applyFill="1" applyBorder="1" applyAlignment="1" applyProtection="1">
      <alignment horizontal="center" vertical="top" wrapText="1"/>
    </xf>
    <xf numFmtId="14" fontId="3" fillId="0" borderId="0" xfId="42" applyNumberFormat="1" applyBorder="1" applyAlignment="1" applyProtection="1">
      <alignment horizontal="center"/>
    </xf>
    <xf numFmtId="0" fontId="3" fillId="0" borderId="331" xfId="42" applyFont="1" applyBorder="1" applyAlignment="1" applyProtection="1">
      <alignment vertical="top"/>
    </xf>
    <xf numFmtId="37" fontId="3" fillId="0" borderId="240" xfId="3" applyNumberFormat="1" applyFont="1" applyFill="1" applyBorder="1" applyAlignment="1" applyProtection="1">
      <alignment horizontal="center" vertical="top" wrapText="1"/>
    </xf>
    <xf numFmtId="37" fontId="3" fillId="0" borderId="241" xfId="3" applyNumberFormat="1" applyFont="1" applyFill="1" applyBorder="1" applyAlignment="1" applyProtection="1">
      <alignment horizontal="center" vertical="top" wrapText="1"/>
    </xf>
    <xf numFmtId="37" fontId="3" fillId="0" borderId="242" xfId="3" applyNumberFormat="1" applyFont="1" applyFill="1" applyBorder="1" applyAlignment="1" applyProtection="1">
      <alignment horizontal="center" vertical="top" wrapText="1"/>
    </xf>
    <xf numFmtId="37" fontId="3" fillId="0" borderId="332" xfId="3" applyNumberFormat="1" applyFont="1" applyFill="1" applyBorder="1" applyAlignment="1" applyProtection="1">
      <alignment horizontal="center" vertical="top" wrapText="1"/>
    </xf>
    <xf numFmtId="37" fontId="3" fillId="0" borderId="185" xfId="11" applyNumberFormat="1" applyFont="1" applyFill="1" applyBorder="1" applyAlignment="1" applyProtection="1">
      <alignment horizontal="center" vertical="top" wrapText="1"/>
    </xf>
    <xf numFmtId="0" fontId="3" fillId="0" borderId="73" xfId="42" applyFont="1" applyBorder="1" applyAlignment="1" applyProtection="1">
      <alignment vertical="top"/>
    </xf>
    <xf numFmtId="37" fontId="3" fillId="0" borderId="150" xfId="3" applyNumberFormat="1" applyFont="1" applyFill="1" applyBorder="1" applyAlignment="1" applyProtection="1">
      <alignment horizontal="center" vertical="top" wrapText="1"/>
    </xf>
    <xf numFmtId="37" fontId="3" fillId="0" borderId="120" xfId="3" applyNumberFormat="1" applyFont="1" applyFill="1" applyBorder="1" applyAlignment="1" applyProtection="1">
      <alignment horizontal="center" vertical="top" wrapText="1"/>
    </xf>
    <xf numFmtId="37" fontId="3" fillId="7" borderId="73" xfId="42" applyNumberFormat="1" applyFont="1" applyFill="1" applyBorder="1" applyAlignment="1" applyProtection="1">
      <alignment horizontal="center" vertical="top" wrapText="1"/>
    </xf>
    <xf numFmtId="37" fontId="3" fillId="0" borderId="121" xfId="3" applyNumberFormat="1" applyFont="1" applyFill="1" applyBorder="1" applyAlignment="1" applyProtection="1">
      <alignment horizontal="center" vertical="top" wrapText="1"/>
    </xf>
    <xf numFmtId="37" fontId="3" fillId="0" borderId="151" xfId="3" applyNumberFormat="1" applyFont="1" applyFill="1" applyBorder="1" applyAlignment="1" applyProtection="1">
      <alignment horizontal="center" vertical="top" wrapText="1"/>
    </xf>
    <xf numFmtId="37" fontId="3" fillId="0" borderId="245" xfId="3" applyNumberFormat="1" applyFont="1" applyFill="1" applyBorder="1" applyAlignment="1" applyProtection="1">
      <alignment horizontal="center" vertical="top" wrapText="1"/>
    </xf>
    <xf numFmtId="37" fontId="3" fillId="0" borderId="243" xfId="3" applyNumberFormat="1" applyFont="1" applyFill="1" applyBorder="1" applyAlignment="1" applyProtection="1">
      <alignment horizontal="center" vertical="top" wrapText="1"/>
    </xf>
    <xf numFmtId="37" fontId="3" fillId="0" borderId="221" xfId="3" applyNumberFormat="1" applyFont="1" applyFill="1" applyBorder="1" applyAlignment="1" applyProtection="1">
      <alignment horizontal="center" vertical="top" wrapText="1"/>
    </xf>
    <xf numFmtId="37" fontId="3" fillId="0" borderId="255" xfId="3" applyNumberFormat="1" applyFont="1" applyFill="1" applyBorder="1" applyAlignment="1" applyProtection="1">
      <alignment horizontal="center" vertical="top" wrapText="1"/>
    </xf>
    <xf numFmtId="37" fontId="3" fillId="0" borderId="152" xfId="3" applyNumberFormat="1" applyFont="1" applyFill="1" applyBorder="1" applyAlignment="1" applyProtection="1">
      <alignment horizontal="center" vertical="top" wrapText="1"/>
    </xf>
    <xf numFmtId="37" fontId="3" fillId="0" borderId="153" xfId="3" applyNumberFormat="1" applyFont="1" applyFill="1" applyBorder="1" applyAlignment="1" applyProtection="1">
      <alignment horizontal="center" vertical="top" wrapText="1"/>
    </xf>
    <xf numFmtId="37" fontId="3" fillId="7" borderId="78" xfId="42" applyNumberFormat="1" applyFont="1" applyFill="1" applyBorder="1" applyAlignment="1" applyProtection="1">
      <alignment horizontal="center" vertical="top" wrapText="1"/>
    </xf>
    <xf numFmtId="37" fontId="3" fillId="0" borderId="145" xfId="3" applyNumberFormat="1" applyFont="1" applyFill="1" applyBorder="1" applyAlignment="1" applyProtection="1">
      <alignment horizontal="center" vertical="top" wrapText="1"/>
    </xf>
    <xf numFmtId="37" fontId="3" fillId="0" borderId="146" xfId="3" applyNumberFormat="1" applyFont="1" applyFill="1" applyBorder="1" applyAlignment="1" applyProtection="1">
      <alignment horizontal="center" vertical="top" wrapText="1"/>
    </xf>
    <xf numFmtId="0" fontId="3" fillId="0" borderId="215" xfId="42" applyFont="1" applyBorder="1" applyAlignment="1" applyProtection="1">
      <alignment vertical="top"/>
    </xf>
    <xf numFmtId="0" fontId="3" fillId="0" borderId="209" xfId="42" applyFont="1" applyBorder="1" applyAlignment="1" applyProtection="1">
      <alignment vertical="top"/>
    </xf>
    <xf numFmtId="37" fontId="3" fillId="0" borderId="246" xfId="3" applyNumberFormat="1" applyFont="1" applyFill="1" applyBorder="1" applyAlignment="1" applyProtection="1">
      <alignment horizontal="center" vertical="top" wrapText="1"/>
    </xf>
    <xf numFmtId="37" fontId="3" fillId="0" borderId="219" xfId="3" applyNumberFormat="1" applyFont="1" applyFill="1" applyBorder="1" applyAlignment="1" applyProtection="1">
      <alignment horizontal="center" vertical="top" wrapText="1"/>
    </xf>
    <xf numFmtId="37" fontId="3" fillId="0" borderId="220" xfId="3" applyNumberFormat="1" applyFont="1" applyFill="1" applyBorder="1" applyAlignment="1" applyProtection="1">
      <alignment horizontal="center" vertical="top" wrapText="1"/>
    </xf>
    <xf numFmtId="37" fontId="3" fillId="0" borderId="247" xfId="3" applyNumberFormat="1" applyFont="1" applyFill="1" applyBorder="1" applyAlignment="1" applyProtection="1">
      <alignment horizontal="center" vertical="top" wrapText="1"/>
    </xf>
    <xf numFmtId="0" fontId="4" fillId="0" borderId="9" xfId="42" applyFont="1" applyBorder="1" applyAlignment="1" applyProtection="1">
      <alignment vertical="top"/>
    </xf>
    <xf numFmtId="0" fontId="4" fillId="0" borderId="203" xfId="42" applyFont="1" applyFill="1" applyBorder="1" applyAlignment="1" applyProtection="1">
      <alignment vertical="top"/>
    </xf>
    <xf numFmtId="0" fontId="4" fillId="0" borderId="215" xfId="42" applyFont="1" applyFill="1" applyBorder="1" applyAlignment="1" applyProtection="1">
      <alignment vertical="top"/>
    </xf>
    <xf numFmtId="0" fontId="4" fillId="0" borderId="13" xfId="42" applyFont="1" applyBorder="1" applyAlignment="1" applyProtection="1">
      <alignment vertical="top"/>
    </xf>
    <xf numFmtId="0" fontId="3" fillId="0" borderId="13" xfId="42" applyBorder="1"/>
    <xf numFmtId="0" fontId="3" fillId="0" borderId="10" xfId="42" applyFont="1" applyBorder="1" applyAlignment="1" applyProtection="1">
      <alignment vertical="top"/>
    </xf>
    <xf numFmtId="0" fontId="3" fillId="0" borderId="333" xfId="42" applyFont="1" applyBorder="1" applyAlignment="1" applyProtection="1">
      <alignment vertical="top"/>
    </xf>
    <xf numFmtId="0" fontId="3" fillId="0" borderId="175" xfId="42" applyFont="1" applyBorder="1" applyAlignment="1" applyProtection="1">
      <alignment vertical="top" wrapText="1"/>
    </xf>
    <xf numFmtId="0" fontId="3" fillId="0" borderId="197" xfId="42" applyFont="1" applyFill="1" applyBorder="1" applyAlignment="1" applyProtection="1">
      <alignment horizontal="center" vertical="top" wrapText="1"/>
    </xf>
    <xf numFmtId="0" fontId="3" fillId="0" borderId="175" xfId="42" applyFont="1" applyFill="1" applyBorder="1" applyAlignment="1" applyProtection="1">
      <alignment horizontal="center" vertical="top" wrapText="1"/>
    </xf>
    <xf numFmtId="0" fontId="3" fillId="0" borderId="200" xfId="42" applyFont="1" applyFill="1" applyBorder="1" applyAlignment="1" applyProtection="1">
      <alignment horizontal="center" vertical="top" wrapText="1"/>
    </xf>
    <xf numFmtId="0" fontId="17" fillId="0" borderId="215" xfId="47" applyFont="1" applyBorder="1" applyAlignment="1" applyProtection="1">
      <alignment vertical="top"/>
    </xf>
    <xf numFmtId="0" fontId="3" fillId="0" borderId="154" xfId="47" applyFont="1" applyBorder="1" applyAlignment="1" applyProtection="1">
      <alignment vertical="top"/>
    </xf>
    <xf numFmtId="0" fontId="3" fillId="0" borderId="91" xfId="47" applyFont="1" applyBorder="1" applyAlignment="1" applyProtection="1">
      <alignment vertical="top"/>
    </xf>
    <xf numFmtId="37" fontId="3" fillId="0" borderId="92" xfId="47" applyNumberFormat="1" applyFont="1" applyFill="1" applyBorder="1" applyAlignment="1" applyProtection="1">
      <alignment horizontal="center" vertical="top" wrapText="1"/>
    </xf>
    <xf numFmtId="37" fontId="3" fillId="0" borderId="155" xfId="47" applyNumberFormat="1" applyFont="1" applyFill="1" applyBorder="1" applyAlignment="1" applyProtection="1">
      <alignment horizontal="center" vertical="top" wrapText="1"/>
    </xf>
    <xf numFmtId="37" fontId="3" fillId="0" borderId="258" xfId="53" applyNumberFormat="1" applyFont="1" applyFill="1" applyBorder="1" applyAlignment="1">
      <alignment horizontal="center" vertical="top" wrapText="1"/>
    </xf>
    <xf numFmtId="37" fontId="3" fillId="0" borderId="177" xfId="53" applyNumberFormat="1" applyFont="1" applyFill="1" applyBorder="1" applyAlignment="1">
      <alignment horizontal="center" vertical="top" wrapText="1"/>
    </xf>
    <xf numFmtId="37" fontId="3" fillId="0" borderId="167" xfId="53" applyNumberFormat="1" applyFont="1" applyFill="1" applyBorder="1" applyAlignment="1">
      <alignment horizontal="center" vertical="top" wrapText="1"/>
    </xf>
    <xf numFmtId="37" fontId="5" fillId="0" borderId="188" xfId="47" applyNumberFormat="1" applyFont="1" applyFill="1" applyBorder="1" applyAlignment="1" applyProtection="1">
      <alignment horizontal="center" vertical="top" wrapText="1"/>
    </xf>
    <xf numFmtId="37" fontId="5" fillId="0" borderId="200" xfId="47" applyNumberFormat="1" applyFont="1" applyFill="1" applyBorder="1" applyAlignment="1" applyProtection="1">
      <alignment horizontal="center" vertical="top" wrapText="1"/>
    </xf>
    <xf numFmtId="0" fontId="19" fillId="0" borderId="156" xfId="36" applyFont="1" applyFill="1" applyBorder="1" applyAlignment="1">
      <alignment vertical="center"/>
    </xf>
    <xf numFmtId="5" fontId="19" fillId="0" borderId="42" xfId="4" applyNumberFormat="1" applyFont="1" applyFill="1" applyBorder="1" applyAlignment="1">
      <alignment horizontal="center" vertical="center"/>
    </xf>
    <xf numFmtId="5" fontId="19" fillId="0" borderId="157" xfId="4" applyNumberFormat="1" applyFont="1" applyFill="1" applyBorder="1" applyAlignment="1">
      <alignment horizontal="center" vertical="center"/>
    </xf>
    <xf numFmtId="5" fontId="19" fillId="0" borderId="7" xfId="4" applyNumberFormat="1" applyFont="1" applyFill="1" applyBorder="1" applyAlignment="1">
      <alignment horizontal="center" vertical="center"/>
    </xf>
    <xf numFmtId="0" fontId="19" fillId="0" borderId="190" xfId="36" applyFont="1" applyBorder="1" applyAlignment="1">
      <alignment vertical="center"/>
    </xf>
    <xf numFmtId="0" fontId="20" fillId="0" borderId="200" xfId="36" applyFont="1" applyBorder="1" applyAlignment="1">
      <alignment vertical="center"/>
    </xf>
    <xf numFmtId="37" fontId="20" fillId="0" borderId="199" xfId="4" applyNumberFormat="1" applyFont="1" applyFill="1" applyBorder="1" applyAlignment="1">
      <alignment horizontal="center" vertical="center"/>
    </xf>
    <xf numFmtId="37" fontId="20" fillId="0" borderId="207" xfId="4" applyNumberFormat="1" applyFont="1" applyFill="1" applyBorder="1" applyAlignment="1">
      <alignment horizontal="center" vertical="center"/>
    </xf>
    <xf numFmtId="37" fontId="20" fillId="0" borderId="168" xfId="4" applyNumberFormat="1" applyFont="1" applyFill="1" applyBorder="1" applyAlignment="1">
      <alignment horizontal="center" vertical="center"/>
    </xf>
    <xf numFmtId="37" fontId="20" fillId="0" borderId="200" xfId="4" applyNumberFormat="1" applyFont="1" applyFill="1" applyBorder="1" applyAlignment="1">
      <alignment horizontal="center" vertical="center"/>
    </xf>
    <xf numFmtId="0" fontId="19" fillId="0" borderId="158" xfId="36" applyFont="1" applyFill="1" applyBorder="1" applyAlignment="1">
      <alignment vertical="center"/>
    </xf>
    <xf numFmtId="0" fontId="20" fillId="0" borderId="9" xfId="36" applyFont="1" applyFill="1" applyBorder="1"/>
    <xf numFmtId="0" fontId="3" fillId="0" borderId="159" xfId="36" applyFont="1" applyBorder="1"/>
    <xf numFmtId="171" fontId="20" fillId="0" borderId="13" xfId="4" applyNumberFormat="1" applyFont="1" applyFill="1" applyBorder="1" applyAlignment="1">
      <alignment vertical="center"/>
    </xf>
    <xf numFmtId="0" fontId="3" fillId="0" borderId="160" xfId="36" applyFont="1" applyBorder="1"/>
    <xf numFmtId="171" fontId="20" fillId="0" borderId="11" xfId="4" applyNumberFormat="1" applyFont="1" applyFill="1" applyBorder="1" applyAlignment="1">
      <alignment vertical="center"/>
    </xf>
    <xf numFmtId="0" fontId="3" fillId="0" borderId="161" xfId="36" applyFont="1" applyBorder="1"/>
    <xf numFmtId="0" fontId="19" fillId="0" borderId="215" xfId="36" applyFont="1" applyBorder="1" applyAlignment="1">
      <alignment vertical="top"/>
    </xf>
    <xf numFmtId="0" fontId="3" fillId="0" borderId="162" xfId="36" applyFont="1" applyBorder="1"/>
    <xf numFmtId="0" fontId="19" fillId="0" borderId="190" xfId="36" applyFont="1" applyBorder="1" applyAlignment="1">
      <alignment vertical="top"/>
    </xf>
    <xf numFmtId="0" fontId="7" fillId="0" borderId="149" xfId="36" applyBorder="1" applyAlignment="1">
      <alignment vertical="top"/>
    </xf>
    <xf numFmtId="0" fontId="20" fillId="0" borderId="0" xfId="36" applyFont="1" applyBorder="1" applyAlignment="1">
      <alignment vertical="top"/>
    </xf>
    <xf numFmtId="0" fontId="19" fillId="0" borderId="9" xfId="36" applyFont="1" applyBorder="1" applyAlignment="1">
      <alignment vertical="top"/>
    </xf>
    <xf numFmtId="0" fontId="7" fillId="0" borderId="162" xfId="36" applyBorder="1" applyAlignment="1">
      <alignment vertical="top"/>
    </xf>
    <xf numFmtId="166" fontId="20" fillId="0" borderId="34" xfId="4" applyNumberFormat="1" applyFont="1" applyFill="1" applyBorder="1" applyAlignment="1">
      <alignment vertical="top" wrapText="1"/>
    </xf>
    <xf numFmtId="166" fontId="20" fillId="0" borderId="10" xfId="4" applyNumberFormat="1" applyFont="1" applyFill="1" applyBorder="1" applyAlignment="1">
      <alignment vertical="top" wrapText="1"/>
    </xf>
    <xf numFmtId="166" fontId="20" fillId="0" borderId="36" xfId="4" applyNumberFormat="1" applyFont="1" applyFill="1" applyBorder="1" applyAlignment="1">
      <alignment vertical="top" wrapText="1"/>
    </xf>
    <xf numFmtId="166" fontId="20" fillId="0" borderId="12" xfId="4" applyNumberFormat="1" applyFont="1" applyFill="1" applyBorder="1" applyAlignment="1">
      <alignment vertical="top" wrapText="1"/>
    </xf>
    <xf numFmtId="0" fontId="3" fillId="0" borderId="106" xfId="42" applyFont="1" applyFill="1" applyBorder="1" applyAlignment="1" applyProtection="1">
      <alignment vertical="top"/>
    </xf>
    <xf numFmtId="0" fontId="3" fillId="0" borderId="135" xfId="42" applyFont="1" applyFill="1" applyBorder="1" applyAlignment="1">
      <alignment vertical="top"/>
    </xf>
    <xf numFmtId="0" fontId="3" fillId="0" borderId="0" xfId="42" applyFont="1" applyFill="1" applyAlignment="1" applyProtection="1">
      <alignment horizontal="left" vertical="top"/>
    </xf>
    <xf numFmtId="37" fontId="5" fillId="0" borderId="271" xfId="42" applyNumberFormat="1" applyFont="1" applyFill="1" applyBorder="1" applyAlignment="1" applyProtection="1">
      <alignment horizontal="center" vertical="top" wrapText="1"/>
    </xf>
    <xf numFmtId="37" fontId="3" fillId="0" borderId="230" xfId="42" applyNumberFormat="1" applyFont="1" applyFill="1" applyBorder="1" applyAlignment="1" applyProtection="1">
      <alignment horizontal="center" vertical="top" wrapText="1"/>
    </xf>
    <xf numFmtId="0" fontId="4" fillId="0" borderId="223" xfId="42" applyFont="1" applyBorder="1" applyProtection="1"/>
    <xf numFmtId="5" fontId="6" fillId="0" borderId="224" xfId="42" applyNumberFormat="1" applyFont="1" applyFill="1" applyBorder="1" applyAlignment="1" applyProtection="1">
      <alignment horizontal="center" vertical="top" wrapText="1"/>
    </xf>
    <xf numFmtId="5" fontId="4" fillId="0" borderId="335" xfId="42" applyNumberFormat="1" applyFont="1" applyFill="1" applyBorder="1" applyAlignment="1" applyProtection="1">
      <alignment horizontal="center" vertical="top" wrapText="1"/>
    </xf>
    <xf numFmtId="5" fontId="4" fillId="0" borderId="223" xfId="42" applyNumberFormat="1" applyFont="1" applyFill="1" applyBorder="1" applyAlignment="1" applyProtection="1">
      <alignment horizontal="center" vertical="top" wrapText="1"/>
    </xf>
    <xf numFmtId="0" fontId="3" fillId="0" borderId="321" xfId="42" applyFont="1" applyBorder="1" applyProtection="1"/>
    <xf numFmtId="37" fontId="3" fillId="0" borderId="336" xfId="42" applyNumberFormat="1" applyFont="1" applyFill="1" applyBorder="1" applyAlignment="1" applyProtection="1">
      <alignment horizontal="center" vertical="top" wrapText="1"/>
    </xf>
    <xf numFmtId="37" fontId="3" fillId="0" borderId="57" xfId="53" applyNumberFormat="1" applyFont="1" applyFill="1" applyBorder="1" applyAlignment="1" applyProtection="1">
      <alignment horizontal="center" vertical="top" wrapText="1"/>
    </xf>
    <xf numFmtId="37" fontId="3" fillId="0" borderId="198" xfId="47" applyNumberFormat="1" applyFont="1" applyFill="1" applyBorder="1" applyAlignment="1" applyProtection="1">
      <alignment horizontal="center" vertical="top" wrapText="1"/>
    </xf>
    <xf numFmtId="37" fontId="3" fillId="0" borderId="167" xfId="47" applyNumberFormat="1" applyFont="1" applyFill="1" applyBorder="1" applyAlignment="1" applyProtection="1">
      <alignment horizontal="center" vertical="top" wrapText="1"/>
    </xf>
    <xf numFmtId="37" fontId="3" fillId="0" borderId="168" xfId="47" applyNumberFormat="1" applyFont="1" applyFill="1" applyBorder="1" applyAlignment="1" applyProtection="1">
      <alignment horizontal="center" vertical="top" wrapText="1"/>
    </xf>
    <xf numFmtId="37" fontId="3" fillId="0" borderId="95" xfId="46" applyNumberFormat="1" applyFont="1" applyFill="1" applyBorder="1" applyAlignment="1" applyProtection="1">
      <alignment horizontal="center" vertical="top" wrapText="1"/>
    </xf>
    <xf numFmtId="0" fontId="20" fillId="0" borderId="31" xfId="32" applyFont="1" applyBorder="1"/>
    <xf numFmtId="0" fontId="20" fillId="0" borderId="31" xfId="32" applyFont="1" applyBorder="1" applyAlignment="1">
      <alignment horizontal="left"/>
    </xf>
    <xf numFmtId="0" fontId="20" fillId="0" borderId="32" xfId="32" applyFont="1" applyBorder="1"/>
    <xf numFmtId="0" fontId="20" fillId="0" borderId="32" xfId="32" applyFont="1" applyFill="1" applyBorder="1"/>
    <xf numFmtId="0" fontId="20" fillId="0" borderId="32" xfId="32" applyFont="1" applyBorder="1" applyAlignment="1">
      <alignment wrapText="1"/>
    </xf>
    <xf numFmtId="37" fontId="20" fillId="0" borderId="4" xfId="32" applyNumberFormat="1" applyFont="1" applyBorder="1" applyAlignment="1">
      <alignment horizontal="right"/>
    </xf>
    <xf numFmtId="0" fontId="20" fillId="0" borderId="337" xfId="32" applyFont="1" applyBorder="1"/>
    <xf numFmtId="0" fontId="20" fillId="0" borderId="31" xfId="32" applyFont="1" applyBorder="1" applyAlignment="1">
      <alignment wrapText="1"/>
    </xf>
    <xf numFmtId="0" fontId="20" fillId="0" borderId="31" xfId="32" applyFont="1" applyFill="1" applyBorder="1" applyAlignment="1"/>
    <xf numFmtId="0" fontId="20" fillId="0" borderId="31" xfId="32" applyFont="1" applyFill="1" applyBorder="1" applyAlignment="1">
      <alignment wrapText="1"/>
    </xf>
    <xf numFmtId="0" fontId="20" fillId="0" borderId="31" xfId="32" quotePrefix="1" applyFont="1" applyFill="1" applyBorder="1" applyAlignment="1">
      <alignment horizontal="left" wrapText="1"/>
    </xf>
    <xf numFmtId="0" fontId="20" fillId="0" borderId="32" xfId="32" applyFont="1" applyFill="1" applyBorder="1" applyAlignment="1">
      <alignment wrapText="1"/>
    </xf>
    <xf numFmtId="0" fontId="3" fillId="0" borderId="31" xfId="47" applyFont="1" applyBorder="1" applyAlignment="1" applyProtection="1">
      <alignment vertical="top"/>
    </xf>
    <xf numFmtId="0" fontId="3" fillId="0" borderId="51" xfId="47" applyFont="1" applyBorder="1" applyAlignment="1" applyProtection="1">
      <alignment vertical="top"/>
    </xf>
    <xf numFmtId="37" fontId="3" fillId="0" borderId="52" xfId="47" applyNumberFormat="1" applyFont="1" applyFill="1" applyBorder="1" applyAlignment="1" applyProtection="1">
      <alignment horizontal="center" vertical="top" wrapText="1"/>
    </xf>
    <xf numFmtId="37" fontId="3" fillId="0" borderId="32" xfId="47" applyNumberFormat="1" applyFont="1" applyFill="1" applyBorder="1" applyAlignment="1" applyProtection="1">
      <alignment horizontal="center" vertical="top" wrapText="1"/>
    </xf>
    <xf numFmtId="0" fontId="19" fillId="0" borderId="39" xfId="36" applyFont="1" applyBorder="1" applyAlignment="1">
      <alignment vertical="center"/>
    </xf>
    <xf numFmtId="0" fontId="20" fillId="0" borderId="39" xfId="36" applyFont="1" applyBorder="1" applyAlignment="1">
      <alignment vertical="center" wrapText="1"/>
    </xf>
    <xf numFmtId="0" fontId="19" fillId="0" borderId="0" xfId="36" applyFont="1" applyFill="1" applyBorder="1" applyAlignment="1">
      <alignment horizontal="center" vertical="center" wrapText="1"/>
    </xf>
    <xf numFmtId="0" fontId="7" fillId="0" borderId="0" xfId="36" applyBorder="1" applyAlignment="1">
      <alignment wrapText="1"/>
    </xf>
    <xf numFmtId="37" fontId="21" fillId="0" borderId="0" xfId="49" applyNumberFormat="1" applyFont="1" applyFill="1" applyBorder="1" applyAlignment="1" applyProtection="1">
      <alignment horizontal="left" vertical="center"/>
    </xf>
    <xf numFmtId="0" fontId="3" fillId="0" borderId="209" xfId="47" applyFont="1" applyBorder="1" applyAlignment="1" applyProtection="1">
      <alignment vertical="top" wrapText="1"/>
    </xf>
    <xf numFmtId="37" fontId="3" fillId="0" borderId="0" xfId="42" applyNumberFormat="1" applyBorder="1" applyAlignment="1" applyProtection="1">
      <alignment horizontal="center" wrapText="1"/>
    </xf>
    <xf numFmtId="0" fontId="3" fillId="0" borderId="0" xfId="42" applyBorder="1" applyAlignment="1" applyProtection="1">
      <alignment horizontal="center" wrapText="1"/>
    </xf>
    <xf numFmtId="0" fontId="3" fillId="0" borderId="0" xfId="42" applyBorder="1" applyAlignment="1">
      <alignment wrapText="1"/>
    </xf>
    <xf numFmtId="0" fontId="4" fillId="0" borderId="326" xfId="42" applyFont="1" applyBorder="1" applyProtection="1"/>
    <xf numFmtId="0" fontId="3" fillId="0" borderId="162" xfId="42" applyBorder="1"/>
    <xf numFmtId="0" fontId="44" fillId="0" borderId="174" xfId="49" applyFont="1" applyBorder="1" applyAlignment="1" applyProtection="1">
      <alignment vertical="center"/>
    </xf>
    <xf numFmtId="37" fontId="44" fillId="0" borderId="176" xfId="49" applyNumberFormat="1" applyFont="1" applyFill="1" applyBorder="1" applyAlignment="1" applyProtection="1">
      <alignment horizontal="center" vertical="center"/>
    </xf>
    <xf numFmtId="37" fontId="44" fillId="0" borderId="167" xfId="49" applyNumberFormat="1" applyFont="1" applyFill="1" applyBorder="1" applyAlignment="1" applyProtection="1">
      <alignment horizontal="center" vertical="center"/>
    </xf>
    <xf numFmtId="0" fontId="45" fillId="0" borderId="0" xfId="36" applyFont="1" applyFill="1"/>
    <xf numFmtId="0" fontId="45" fillId="0" borderId="0" xfId="36" applyFont="1"/>
    <xf numFmtId="37" fontId="41" fillId="0" borderId="249" xfId="49" applyNumberFormat="1" applyFont="1" applyBorder="1" applyAlignment="1" applyProtection="1">
      <alignment vertical="center"/>
    </xf>
    <xf numFmtId="37" fontId="44" fillId="0" borderId="338" xfId="49" applyNumberFormat="1" applyFont="1" applyFill="1" applyBorder="1" applyAlignment="1" applyProtection="1">
      <alignment horizontal="center" vertical="center"/>
    </xf>
    <xf numFmtId="37" fontId="44" fillId="0" borderId="270" xfId="49" applyNumberFormat="1" applyFont="1" applyFill="1" applyBorder="1" applyAlignment="1" applyProtection="1">
      <alignment horizontal="center" vertical="center"/>
    </xf>
    <xf numFmtId="37" fontId="41" fillId="0" borderId="211" xfId="49" applyNumberFormat="1" applyFont="1" applyBorder="1" applyAlignment="1" applyProtection="1">
      <alignment vertical="center"/>
    </xf>
    <xf numFmtId="37" fontId="41" fillId="0" borderId="213" xfId="49" applyNumberFormat="1" applyFont="1" applyBorder="1" applyAlignment="1" applyProtection="1">
      <alignment vertical="center"/>
    </xf>
    <xf numFmtId="9" fontId="44" fillId="0" borderId="199" xfId="53" applyFont="1" applyFill="1" applyBorder="1" applyAlignment="1" applyProtection="1">
      <alignment horizontal="center" vertical="center"/>
    </xf>
    <xf numFmtId="37" fontId="44" fillId="0" borderId="168" xfId="49" applyNumberFormat="1" applyFont="1" applyFill="1" applyBorder="1" applyAlignment="1" applyProtection="1">
      <alignment horizontal="center" vertical="center"/>
    </xf>
    <xf numFmtId="37" fontId="40" fillId="0" borderId="211" xfId="49" applyNumberFormat="1" applyFont="1" applyBorder="1" applyAlignment="1" applyProtection="1">
      <alignment vertical="center"/>
    </xf>
    <xf numFmtId="37" fontId="46" fillId="0" borderId="176" xfId="49" applyNumberFormat="1" applyFont="1" applyFill="1" applyBorder="1" applyAlignment="1" applyProtection="1">
      <alignment horizontal="center" vertical="center"/>
    </xf>
    <xf numFmtId="37" fontId="46" fillId="0" borderId="167" xfId="49" applyNumberFormat="1" applyFont="1" applyFill="1" applyBorder="1" applyAlignment="1" applyProtection="1">
      <alignment horizontal="center" vertical="center"/>
    </xf>
    <xf numFmtId="0" fontId="47" fillId="0" borderId="0" xfId="36" applyFont="1" applyFill="1"/>
    <xf numFmtId="0" fontId="47" fillId="0" borderId="0" xfId="36" applyFont="1"/>
    <xf numFmtId="5" fontId="7" fillId="0" borderId="0" xfId="36" applyNumberFormat="1"/>
    <xf numFmtId="14" fontId="20" fillId="0" borderId="13" xfId="4" applyNumberFormat="1" applyFont="1" applyFill="1" applyBorder="1" applyAlignment="1">
      <alignment vertical="center"/>
    </xf>
    <xf numFmtId="14" fontId="3" fillId="0" borderId="160" xfId="36" applyNumberFormat="1" applyFont="1" applyBorder="1"/>
    <xf numFmtId="14" fontId="20" fillId="0" borderId="35" xfId="4" applyNumberFormat="1" applyFont="1" applyFill="1" applyBorder="1" applyAlignment="1">
      <alignment horizontal="center" vertical="center"/>
    </xf>
    <xf numFmtId="14" fontId="20" fillId="0" borderId="14" xfId="4" applyNumberFormat="1" applyFont="1" applyFill="1" applyBorder="1" applyAlignment="1">
      <alignment horizontal="center" vertical="center"/>
    </xf>
    <xf numFmtId="14" fontId="20" fillId="0" borderId="15" xfId="4" applyNumberFormat="1" applyFont="1" applyFill="1" applyBorder="1" applyAlignment="1">
      <alignment horizontal="center" vertical="center"/>
    </xf>
    <xf numFmtId="14" fontId="7" fillId="0" borderId="0" xfId="36" applyNumberFormat="1"/>
    <xf numFmtId="5" fontId="20" fillId="0" borderId="11" xfId="4" applyNumberFormat="1" applyFont="1" applyFill="1" applyBorder="1" applyAlignment="1">
      <alignment vertical="center"/>
    </xf>
    <xf numFmtId="5" fontId="3" fillId="0" borderId="161" xfId="36" applyNumberFormat="1" applyFont="1" applyBorder="1"/>
    <xf numFmtId="5" fontId="20" fillId="0" borderId="36" xfId="4" applyNumberFormat="1" applyFont="1" applyFill="1" applyBorder="1" applyAlignment="1">
      <alignment horizontal="center" vertical="center"/>
    </xf>
    <xf numFmtId="5" fontId="20" fillId="0" borderId="12" xfId="4" applyNumberFormat="1" applyFont="1" applyFill="1" applyBorder="1" applyAlignment="1">
      <alignment horizontal="center" vertical="center"/>
    </xf>
    <xf numFmtId="5" fontId="20" fillId="0" borderId="8" xfId="4" applyNumberFormat="1" applyFont="1" applyFill="1" applyBorder="1" applyAlignment="1">
      <alignment horizontal="center" vertical="center"/>
    </xf>
    <xf numFmtId="0" fontId="8" fillId="0" borderId="0" xfId="48" applyFont="1"/>
    <xf numFmtId="0" fontId="8" fillId="0" borderId="0" xfId="48" applyFont="1" applyBorder="1"/>
    <xf numFmtId="0" fontId="7" fillId="0" borderId="0" xfId="48"/>
    <xf numFmtId="0" fontId="8" fillId="0" borderId="16" xfId="48" applyFont="1" applyBorder="1" applyAlignment="1">
      <alignment horizontal="center"/>
    </xf>
    <xf numFmtId="0" fontId="8" fillId="0" borderId="49" xfId="48" applyFont="1" applyBorder="1" applyAlignment="1">
      <alignment horizontal="center"/>
    </xf>
    <xf numFmtId="37" fontId="8" fillId="0" borderId="49" xfId="48" applyNumberFormat="1" applyFont="1" applyBorder="1" applyAlignment="1">
      <alignment horizontal="right"/>
    </xf>
    <xf numFmtId="37" fontId="8" fillId="0" borderId="49" xfId="48" applyNumberFormat="1" applyFont="1" applyBorder="1" applyAlignment="1">
      <alignment horizontal="center"/>
    </xf>
    <xf numFmtId="0" fontId="8" fillId="0" borderId="4" xfId="48" applyFont="1" applyBorder="1" applyAlignment="1">
      <alignment horizontal="center"/>
    </xf>
    <xf numFmtId="37" fontId="8" fillId="0" borderId="4" xfId="48" applyNumberFormat="1" applyFont="1" applyBorder="1" applyAlignment="1">
      <alignment horizontal="right"/>
    </xf>
    <xf numFmtId="37" fontId="8" fillId="0" borderId="8" xfId="48" applyNumberFormat="1" applyFont="1" applyBorder="1" applyAlignment="1">
      <alignment horizontal="right"/>
    </xf>
    <xf numFmtId="37" fontId="8" fillId="0" borderId="4" xfId="48" applyNumberFormat="1" applyFont="1" applyBorder="1" applyAlignment="1">
      <alignment horizontal="center"/>
    </xf>
    <xf numFmtId="37" fontId="8" fillId="0" borderId="4" xfId="48" applyNumberFormat="1" applyFont="1" applyBorder="1"/>
    <xf numFmtId="37" fontId="8" fillId="0" borderId="8" xfId="48" applyNumberFormat="1" applyFont="1" applyBorder="1" applyAlignment="1">
      <alignment horizontal="center"/>
    </xf>
    <xf numFmtId="0" fontId="8" fillId="0" borderId="0" xfId="48" applyFont="1" applyBorder="1" applyAlignment="1">
      <alignment horizontal="center"/>
    </xf>
    <xf numFmtId="37" fontId="8" fillId="0" borderId="0" xfId="48" applyNumberFormat="1" applyFont="1" applyBorder="1"/>
    <xf numFmtId="9" fontId="8" fillId="0" borderId="0" xfId="52" applyFont="1" applyBorder="1" applyAlignment="1">
      <alignment horizontal="right"/>
    </xf>
    <xf numFmtId="37" fontId="8" fillId="0" borderId="0" xfId="48" applyNumberFormat="1" applyFont="1" applyBorder="1" applyAlignment="1">
      <alignment horizontal="right"/>
    </xf>
    <xf numFmtId="0" fontId="13" fillId="0" borderId="0" xfId="48" applyFont="1" applyBorder="1" applyAlignment="1">
      <alignment horizontal="left"/>
    </xf>
    <xf numFmtId="37" fontId="8" fillId="0" borderId="0" xfId="48" applyNumberFormat="1" applyFont="1" applyBorder="1" applyAlignment="1">
      <alignment horizontal="center"/>
    </xf>
    <xf numFmtId="37" fontId="7" fillId="0" borderId="0" xfId="48" applyNumberFormat="1"/>
    <xf numFmtId="0" fontId="8" fillId="0" borderId="8" xfId="48" applyFont="1" applyBorder="1" applyAlignment="1">
      <alignment horizontal="center"/>
    </xf>
    <xf numFmtId="169" fontId="8" fillId="0" borderId="8" xfId="48" applyNumberFormat="1" applyFont="1" applyBorder="1" applyAlignment="1">
      <alignment horizontal="center"/>
    </xf>
    <xf numFmtId="169" fontId="8" fillId="0" borderId="4" xfId="48" applyNumberFormat="1" applyFont="1" applyBorder="1" applyAlignment="1">
      <alignment horizontal="center"/>
    </xf>
    <xf numFmtId="3" fontId="3" fillId="0" borderId="210" xfId="11" applyNumberFormat="1" applyFont="1" applyFill="1" applyBorder="1" applyAlignment="1" applyProtection="1">
      <alignment horizontal="center" vertical="top" wrapText="1"/>
    </xf>
    <xf numFmtId="3" fontId="3" fillId="0" borderId="197" xfId="47" applyNumberFormat="1" applyFont="1" applyFill="1" applyBorder="1" applyAlignment="1" applyProtection="1">
      <alignment horizontal="center" vertical="top" wrapText="1"/>
    </xf>
    <xf numFmtId="3" fontId="3" fillId="0" borderId="330" xfId="11" applyNumberFormat="1" applyFont="1" applyFill="1" applyBorder="1" applyAlignment="1" applyProtection="1">
      <alignment horizontal="center" vertical="top" wrapText="1"/>
    </xf>
    <xf numFmtId="3" fontId="3" fillId="0" borderId="333" xfId="47" applyNumberFormat="1" applyFont="1" applyFill="1" applyBorder="1" applyAlignment="1" applyProtection="1">
      <alignment horizontal="center" vertical="top" wrapText="1"/>
    </xf>
    <xf numFmtId="3" fontId="3" fillId="0" borderId="332" xfId="47" applyNumberFormat="1" applyFont="1" applyFill="1" applyBorder="1" applyAlignment="1" applyProtection="1">
      <alignment horizontal="center" vertical="top" wrapText="1"/>
    </xf>
    <xf numFmtId="3" fontId="3" fillId="0" borderId="271" xfId="11" applyNumberFormat="1" applyFont="1" applyFill="1" applyBorder="1" applyAlignment="1" applyProtection="1">
      <alignment horizontal="center" vertical="top" wrapText="1"/>
    </xf>
    <xf numFmtId="3" fontId="3" fillId="0" borderId="170" xfId="47" applyNumberFormat="1" applyFont="1" applyFill="1" applyBorder="1" applyAlignment="1" applyProtection="1">
      <alignment horizontal="center" vertical="top" wrapText="1"/>
    </xf>
    <xf numFmtId="3" fontId="3" fillId="0" borderId="340" xfId="47" applyNumberFormat="1" applyFont="1" applyFill="1" applyBorder="1" applyAlignment="1" applyProtection="1">
      <alignment horizontal="center" vertical="top" wrapText="1"/>
    </xf>
    <xf numFmtId="0" fontId="4" fillId="0" borderId="208" xfId="0" applyFont="1" applyBorder="1" applyProtection="1"/>
    <xf numFmtId="0" fontId="3" fillId="0" borderId="209" xfId="0" applyFont="1" applyBorder="1" applyProtection="1"/>
    <xf numFmtId="0" fontId="3" fillId="0" borderId="211" xfId="0" applyFont="1" applyBorder="1" applyProtection="1"/>
    <xf numFmtId="0" fontId="3" fillId="0" borderId="212" xfId="0" applyFont="1" applyFill="1" applyBorder="1" applyProtection="1"/>
    <xf numFmtId="0" fontId="3" fillId="0" borderId="212" xfId="0" applyFont="1" applyBorder="1" applyProtection="1"/>
    <xf numFmtId="0" fontId="3" fillId="0" borderId="45" xfId="42" applyFont="1" applyBorder="1" applyAlignment="1" applyProtection="1">
      <alignment vertical="top"/>
    </xf>
    <xf numFmtId="0" fontId="3" fillId="0" borderId="58" xfId="42" applyFont="1" applyBorder="1" applyAlignment="1" applyProtection="1">
      <alignment vertical="top"/>
    </xf>
    <xf numFmtId="0" fontId="4" fillId="0" borderId="215" xfId="42" applyFont="1" applyBorder="1" applyAlignment="1" applyProtection="1">
      <alignment vertical="top"/>
    </xf>
    <xf numFmtId="0" fontId="3" fillId="0" borderId="331" xfId="47" applyFont="1" applyBorder="1" applyAlignment="1" applyProtection="1">
      <alignment vertical="top"/>
    </xf>
    <xf numFmtId="37" fontId="3" fillId="0" borderId="330" xfId="47" applyNumberFormat="1" applyFont="1" applyFill="1" applyBorder="1" applyAlignment="1" applyProtection="1">
      <alignment horizontal="center" vertical="top" wrapText="1"/>
    </xf>
    <xf numFmtId="37" fontId="3" fillId="0" borderId="241" xfId="47" applyNumberFormat="1" applyFont="1" applyFill="1" applyBorder="1" applyAlignment="1" applyProtection="1">
      <alignment horizontal="center" vertical="top" wrapText="1"/>
    </xf>
    <xf numFmtId="37" fontId="3" fillId="0" borderId="333" xfId="47" applyNumberFormat="1" applyFont="1" applyFill="1" applyBorder="1" applyAlignment="1" applyProtection="1">
      <alignment horizontal="center" vertical="top" wrapText="1"/>
    </xf>
    <xf numFmtId="0" fontId="3" fillId="0" borderId="163" xfId="42" applyFont="1" applyBorder="1" applyAlignment="1" applyProtection="1">
      <alignment vertical="top"/>
    </xf>
    <xf numFmtId="0" fontId="3" fillId="0" borderId="87" xfId="42" applyFont="1" applyBorder="1" applyAlignment="1" applyProtection="1">
      <alignment vertical="top"/>
    </xf>
    <xf numFmtId="0" fontId="3" fillId="0" borderId="164" xfId="42" applyFont="1" applyBorder="1" applyAlignment="1" applyProtection="1">
      <alignment vertical="top"/>
    </xf>
    <xf numFmtId="0" fontId="3" fillId="0" borderId="197" xfId="42" applyFont="1" applyBorder="1" applyAlignment="1" applyProtection="1">
      <alignment vertical="top"/>
    </xf>
    <xf numFmtId="0" fontId="4" fillId="0" borderId="174" xfId="42" applyFont="1" applyBorder="1" applyAlignment="1" applyProtection="1">
      <alignment vertical="top"/>
    </xf>
    <xf numFmtId="0" fontId="3" fillId="0" borderId="175" xfId="42" applyFont="1" applyBorder="1" applyAlignment="1" applyProtection="1">
      <alignment vertical="top"/>
    </xf>
    <xf numFmtId="0" fontId="3" fillId="0" borderId="175" xfId="42" applyFont="1" applyFill="1" applyBorder="1" applyAlignment="1" applyProtection="1">
      <alignment vertical="top"/>
    </xf>
    <xf numFmtId="0" fontId="3" fillId="0" borderId="175" xfId="44" applyFont="1" applyBorder="1" applyAlignment="1">
      <alignment vertical="top"/>
    </xf>
    <xf numFmtId="0" fontId="3" fillId="0" borderId="333" xfId="31" applyFont="1" applyFill="1" applyBorder="1" applyAlignment="1" applyProtection="1">
      <alignment vertical="top" wrapText="1"/>
    </xf>
    <xf numFmtId="0" fontId="3" fillId="0" borderId="200" xfId="42" applyFont="1" applyBorder="1" applyAlignment="1">
      <alignment vertical="top"/>
    </xf>
    <xf numFmtId="0" fontId="4" fillId="0" borderId="208" xfId="42" applyFont="1" applyBorder="1" applyAlignment="1" applyProtection="1">
      <alignment vertical="top"/>
    </xf>
    <xf numFmtId="0" fontId="3" fillId="0" borderId="213" xfId="42" applyFont="1" applyBorder="1" applyAlignment="1" applyProtection="1">
      <alignment vertical="top"/>
    </xf>
    <xf numFmtId="0" fontId="3" fillId="0" borderId="214" xfId="42" applyFont="1" applyBorder="1" applyAlignment="1">
      <alignment vertical="top"/>
    </xf>
    <xf numFmtId="0" fontId="4" fillId="0" borderId="203" xfId="42" applyFont="1" applyBorder="1" applyAlignment="1" applyProtection="1">
      <alignment vertical="top"/>
    </xf>
    <xf numFmtId="0" fontId="3" fillId="0" borderId="341" xfId="42" applyFont="1" applyBorder="1" applyAlignment="1" applyProtection="1">
      <alignment vertical="top"/>
    </xf>
    <xf numFmtId="0" fontId="3" fillId="0" borderId="342" xfId="42" applyFont="1" applyFill="1" applyBorder="1" applyAlignment="1" applyProtection="1">
      <alignment vertical="top"/>
    </xf>
    <xf numFmtId="37" fontId="3" fillId="0" borderId="343" xfId="42" applyNumberFormat="1" applyFont="1" applyFill="1" applyBorder="1" applyAlignment="1" applyProtection="1">
      <alignment horizontal="center" vertical="top" wrapText="1"/>
    </xf>
    <xf numFmtId="37" fontId="3" fillId="0" borderId="342" xfId="42" applyNumberFormat="1" applyFont="1" applyFill="1" applyBorder="1" applyAlignment="1" applyProtection="1">
      <alignment horizontal="center" vertical="top" wrapText="1"/>
    </xf>
    <xf numFmtId="0" fontId="3" fillId="0" borderId="344" xfId="42" applyFont="1" applyBorder="1" applyAlignment="1" applyProtection="1">
      <alignment vertical="top"/>
    </xf>
    <xf numFmtId="0" fontId="3" fillId="0" borderId="345" xfId="42" applyFont="1" applyFill="1" applyBorder="1" applyAlignment="1" applyProtection="1">
      <alignment vertical="top"/>
    </xf>
    <xf numFmtId="37" fontId="3" fillId="0" borderId="346" xfId="42" applyNumberFormat="1" applyFont="1" applyFill="1" applyBorder="1" applyAlignment="1" applyProtection="1">
      <alignment horizontal="center" vertical="top" wrapText="1"/>
    </xf>
    <xf numFmtId="37" fontId="3" fillId="0" borderId="345" xfId="42" applyNumberFormat="1" applyFont="1" applyFill="1" applyBorder="1" applyAlignment="1" applyProtection="1">
      <alignment horizontal="center" vertical="top" wrapText="1"/>
    </xf>
    <xf numFmtId="0" fontId="3" fillId="0" borderId="203" xfId="42" applyFont="1" applyBorder="1" applyAlignment="1" applyProtection="1">
      <alignment vertical="top"/>
    </xf>
    <xf numFmtId="0" fontId="36" fillId="0" borderId="0" xfId="31" applyAlignment="1">
      <alignment vertical="top"/>
    </xf>
    <xf numFmtId="0" fontId="20" fillId="0" borderId="3" xfId="32" applyFont="1" applyBorder="1" applyAlignment="1">
      <alignment horizontal="left"/>
    </xf>
    <xf numFmtId="168" fontId="20" fillId="0" borderId="4" xfId="32" applyNumberFormat="1" applyFont="1" applyBorder="1" applyAlignment="1">
      <alignment horizontal="center"/>
    </xf>
    <xf numFmtId="0" fontId="19" fillId="0" borderId="0" xfId="32" applyFont="1"/>
    <xf numFmtId="0" fontId="3" fillId="0" borderId="174" xfId="47" applyFont="1" applyFill="1" applyBorder="1" applyAlignment="1" applyProtection="1">
      <alignment vertical="top"/>
    </xf>
    <xf numFmtId="0" fontId="3" fillId="0" borderId="192" xfId="42" applyFont="1" applyFill="1" applyBorder="1" applyProtection="1"/>
    <xf numFmtId="0" fontId="3" fillId="0" borderId="331" xfId="47" applyFont="1" applyFill="1" applyBorder="1" applyAlignment="1" applyProtection="1">
      <alignment vertical="top"/>
    </xf>
    <xf numFmtId="0" fontId="3" fillId="0" borderId="339" xfId="42" applyFont="1" applyFill="1" applyBorder="1" applyProtection="1"/>
    <xf numFmtId="0" fontId="3" fillId="0" borderId="190" xfId="47" applyFont="1" applyFill="1" applyBorder="1" applyAlignment="1" applyProtection="1">
      <alignment vertical="top"/>
    </xf>
    <xf numFmtId="0" fontId="3" fillId="0" borderId="191" xfId="42" applyFont="1" applyFill="1" applyBorder="1" applyProtection="1"/>
    <xf numFmtId="0" fontId="3" fillId="0" borderId="212" xfId="47" applyFont="1" applyFill="1" applyBorder="1" applyAlignment="1" applyProtection="1">
      <alignment vertical="top" wrapText="1"/>
    </xf>
    <xf numFmtId="0" fontId="4" fillId="0" borderId="169" xfId="47" applyFont="1" applyFill="1" applyBorder="1" applyAlignment="1" applyProtection="1">
      <alignment horizontal="left" vertical="top" wrapText="1"/>
    </xf>
    <xf numFmtId="0" fontId="3" fillId="0" borderId="206" xfId="47" applyFont="1" applyFill="1" applyBorder="1" applyAlignment="1" applyProtection="1">
      <alignment horizontal="left" vertical="top" wrapText="1"/>
    </xf>
    <xf numFmtId="0" fontId="3" fillId="0" borderId="239" xfId="42" applyFont="1" applyBorder="1" applyAlignment="1" applyProtection="1">
      <alignment vertical="top" wrapText="1"/>
    </xf>
    <xf numFmtId="37" fontId="3" fillId="0" borderId="206" xfId="53" applyNumberFormat="1" applyFont="1" applyFill="1" applyBorder="1" applyAlignment="1">
      <alignment horizontal="center" vertical="top" wrapText="1"/>
    </xf>
    <xf numFmtId="37" fontId="3" fillId="0" borderId="170" xfId="53" applyNumberFormat="1" applyFont="1" applyFill="1" applyBorder="1" applyAlignment="1">
      <alignment horizontal="center" vertical="top" wrapText="1"/>
    </xf>
    <xf numFmtId="0" fontId="3" fillId="0" borderId="190" xfId="42" applyFont="1" applyBorder="1" applyAlignment="1">
      <alignment vertical="top"/>
    </xf>
    <xf numFmtId="0" fontId="3" fillId="0" borderId="191" xfId="46" applyFont="1" applyBorder="1" applyAlignment="1">
      <alignment vertical="top"/>
    </xf>
    <xf numFmtId="37" fontId="3" fillId="0" borderId="207" xfId="53" applyNumberFormat="1" applyFont="1" applyFill="1" applyBorder="1" applyAlignment="1">
      <alignment horizontal="center" vertical="top" wrapText="1"/>
    </xf>
    <xf numFmtId="37" fontId="3" fillId="0" borderId="168" xfId="53" applyNumberFormat="1" applyFont="1" applyFill="1" applyBorder="1" applyAlignment="1">
      <alignment horizontal="center" vertical="top" wrapText="1"/>
    </xf>
    <xf numFmtId="37" fontId="3" fillId="0" borderId="33" xfId="53" applyNumberFormat="1" applyFont="1" applyFill="1" applyBorder="1" applyAlignment="1">
      <alignment horizontal="center" vertical="top" wrapText="1"/>
    </xf>
    <xf numFmtId="37" fontId="3" fillId="0" borderId="115" xfId="53" applyNumberFormat="1" applyFont="1" applyFill="1" applyBorder="1" applyAlignment="1">
      <alignment horizontal="center" vertical="top" wrapText="1"/>
    </xf>
    <xf numFmtId="37" fontId="3" fillId="0" borderId="3" xfId="53" applyNumberFormat="1" applyFont="1" applyFill="1" applyBorder="1" applyAlignment="1">
      <alignment horizontal="center" vertical="top" wrapText="1"/>
    </xf>
    <xf numFmtId="37" fontId="3" fillId="0" borderId="32" xfId="53" applyNumberFormat="1" applyFont="1" applyFill="1" applyBorder="1" applyAlignment="1">
      <alignment horizontal="center" vertical="top" wrapText="1"/>
    </xf>
    <xf numFmtId="0" fontId="46" fillId="0" borderId="174" xfId="49" applyFont="1" applyBorder="1" applyAlignment="1" applyProtection="1">
      <alignment vertical="center"/>
    </xf>
    <xf numFmtId="37" fontId="21" fillId="0" borderId="40" xfId="49" applyNumberFormat="1" applyFont="1" applyFill="1" applyBorder="1" applyAlignment="1" applyProtection="1">
      <alignment horizontal="center" vertical="center"/>
    </xf>
    <xf numFmtId="0" fontId="1" fillId="0" borderId="334" xfId="64" applyBorder="1" applyAlignment="1"/>
    <xf numFmtId="0" fontId="1" fillId="0" borderId="334" xfId="64" applyBorder="1" applyAlignment="1">
      <alignment horizontal="center"/>
    </xf>
    <xf numFmtId="37" fontId="1" fillId="0" borderId="334" xfId="64" applyNumberFormat="1" applyBorder="1" applyAlignment="1"/>
    <xf numFmtId="0" fontId="1" fillId="0" borderId="0" xfId="64" applyAlignment="1"/>
    <xf numFmtId="0" fontId="48" fillId="0" borderId="334" xfId="64" applyFont="1" applyBorder="1" applyAlignment="1"/>
    <xf numFmtId="22" fontId="1" fillId="0" borderId="334" xfId="64" applyNumberFormat="1" applyBorder="1" applyAlignment="1"/>
    <xf numFmtId="0" fontId="1" fillId="0" borderId="0" xfId="64" applyAlignment="1">
      <alignment horizontal="center"/>
    </xf>
    <xf numFmtId="37" fontId="1" fillId="0" borderId="0" xfId="64" applyNumberFormat="1" applyAlignment="1"/>
    <xf numFmtId="37" fontId="1" fillId="0" borderId="0" xfId="64" applyNumberFormat="1" applyFill="1" applyAlignment="1"/>
    <xf numFmtId="0" fontId="1" fillId="0" borderId="349" xfId="64" applyFont="1" applyBorder="1" applyAlignment="1">
      <alignment horizontal="center" wrapText="1"/>
    </xf>
    <xf numFmtId="37" fontId="1" fillId="0" borderId="349" xfId="64" applyNumberFormat="1" applyFont="1" applyBorder="1" applyAlignment="1">
      <alignment horizontal="center" wrapText="1"/>
    </xf>
    <xf numFmtId="0" fontId="1" fillId="0" borderId="349" xfId="64" applyBorder="1" applyAlignment="1">
      <alignment horizontal="center" wrapText="1"/>
    </xf>
    <xf numFmtId="0" fontId="1" fillId="0" borderId="349" xfId="64" applyFont="1" applyBorder="1" applyAlignment="1">
      <alignment horizontal="center"/>
    </xf>
    <xf numFmtId="168" fontId="1" fillId="0" borderId="349" xfId="64" applyNumberFormat="1" applyFont="1" applyBorder="1" applyAlignment="1">
      <alignment horizontal="center" wrapText="1"/>
    </xf>
    <xf numFmtId="0" fontId="1" fillId="9" borderId="334" xfId="64" applyFill="1" applyBorder="1" applyAlignment="1">
      <alignment horizontal="center"/>
    </xf>
    <xf numFmtId="0" fontId="1" fillId="8" borderId="334" xfId="64" applyFill="1" applyBorder="1" applyAlignment="1">
      <alignment horizontal="center"/>
    </xf>
    <xf numFmtId="0" fontId="1" fillId="0" borderId="350" xfId="64" applyBorder="1" applyAlignment="1"/>
    <xf numFmtId="0" fontId="1" fillId="0" borderId="350" xfId="64" applyBorder="1" applyAlignment="1">
      <alignment horizontal="center"/>
    </xf>
    <xf numFmtId="37" fontId="1" fillId="0" borderId="350" xfId="64" applyNumberFormat="1" applyBorder="1" applyAlignment="1"/>
    <xf numFmtId="0" fontId="1" fillId="0" borderId="0" xfId="64" applyBorder="1" applyAlignment="1"/>
    <xf numFmtId="0" fontId="1" fillId="0" borderId="351" xfId="64" applyBorder="1" applyAlignment="1"/>
    <xf numFmtId="0" fontId="1" fillId="0" borderId="351" xfId="64" applyBorder="1" applyAlignment="1">
      <alignment horizontal="center"/>
    </xf>
    <xf numFmtId="0" fontId="48" fillId="0" borderId="351" xfId="64" applyFont="1" applyBorder="1" applyAlignment="1"/>
    <xf numFmtId="37" fontId="1" fillId="0" borderId="351" xfId="64" applyNumberFormat="1" applyBorder="1" applyAlignment="1"/>
    <xf numFmtId="0" fontId="1" fillId="0" borderId="0" xfId="64" applyBorder="1" applyAlignment="1">
      <alignment horizontal="center"/>
    </xf>
    <xf numFmtId="0" fontId="48" fillId="0" borderId="0" xfId="64" applyFont="1" applyBorder="1" applyAlignment="1"/>
    <xf numFmtId="37" fontId="1" fillId="0" borderId="0" xfId="64" applyNumberFormat="1" applyBorder="1" applyAlignment="1"/>
    <xf numFmtId="0" fontId="1" fillId="0" borderId="334" xfId="64" applyFill="1" applyBorder="1" applyAlignment="1">
      <alignment horizontal="center"/>
    </xf>
    <xf numFmtId="0" fontId="1" fillId="0" borderId="334" xfId="64" applyBorder="1" applyAlignment="1">
      <alignment horizontal="center" wrapText="1"/>
    </xf>
    <xf numFmtId="37" fontId="3" fillId="10" borderId="52" xfId="42" applyNumberFormat="1" applyFont="1" applyFill="1" applyBorder="1" applyAlignment="1" applyProtection="1">
      <alignment horizontal="center" vertical="top" wrapText="1"/>
    </xf>
    <xf numFmtId="37" fontId="3" fillId="10" borderId="51" xfId="42" applyNumberFormat="1" applyFont="1" applyFill="1" applyBorder="1" applyAlignment="1" applyProtection="1">
      <alignment horizontal="center" vertical="top" wrapText="1"/>
    </xf>
    <xf numFmtId="0" fontId="49" fillId="0" borderId="0" xfId="48" applyFont="1" applyAlignment="1">
      <alignment horizontal="center"/>
    </xf>
    <xf numFmtId="9" fontId="8" fillId="0" borderId="4" xfId="52" applyFont="1" applyBorder="1" applyAlignment="1">
      <alignment horizontal="right"/>
    </xf>
    <xf numFmtId="37" fontId="8" fillId="0" borderId="8" xfId="48" applyNumberFormat="1" applyFont="1" applyBorder="1"/>
    <xf numFmtId="9" fontId="8" fillId="0" borderId="8" xfId="52" applyFont="1" applyBorder="1" applyAlignment="1">
      <alignment horizontal="right"/>
    </xf>
    <xf numFmtId="0" fontId="49" fillId="0" borderId="0" xfId="48" applyFont="1" applyAlignment="1">
      <alignment horizontal="center"/>
    </xf>
    <xf numFmtId="0" fontId="9" fillId="0" borderId="149" xfId="48" applyFont="1" applyBorder="1" applyAlignment="1">
      <alignment horizontal="center"/>
    </xf>
    <xf numFmtId="0" fontId="8" fillId="0" borderId="37" xfId="48" applyFont="1" applyBorder="1" applyAlignment="1">
      <alignment horizontal="center"/>
    </xf>
    <xf numFmtId="0" fontId="8" fillId="0" borderId="165" xfId="48" applyFont="1" applyBorder="1" applyAlignment="1">
      <alignment horizontal="center"/>
    </xf>
    <xf numFmtId="37" fontId="8" fillId="0" borderId="31" xfId="48" applyNumberFormat="1" applyFont="1" applyBorder="1" applyAlignment="1">
      <alignment horizontal="center"/>
    </xf>
    <xf numFmtId="37" fontId="8" fillId="0" borderId="32" xfId="48" applyNumberFormat="1" applyFont="1" applyBorder="1" applyAlignment="1">
      <alignment horizontal="center"/>
    </xf>
    <xf numFmtId="0" fontId="19" fillId="0" borderId="31" xfId="36" applyFont="1" applyBorder="1" applyAlignment="1">
      <alignment horizontal="left" vertical="top" wrapText="1"/>
    </xf>
    <xf numFmtId="0" fontId="19" fillId="0" borderId="166" xfId="36" applyFont="1" applyBorder="1" applyAlignment="1">
      <alignment horizontal="left" vertical="top" wrapText="1"/>
    </xf>
    <xf numFmtId="0" fontId="19" fillId="0" borderId="11" xfId="36" applyFont="1" applyBorder="1" applyAlignment="1">
      <alignment horizontal="left" vertical="top" wrapText="1"/>
    </xf>
    <xf numFmtId="0" fontId="19" fillId="0" borderId="161" xfId="36" applyFont="1" applyBorder="1" applyAlignment="1">
      <alignment horizontal="left" vertical="top" wrapText="1"/>
    </xf>
    <xf numFmtId="0" fontId="19" fillId="0" borderId="0" xfId="36" applyFont="1" applyFill="1" applyAlignment="1">
      <alignment horizontal="center"/>
    </xf>
    <xf numFmtId="0" fontId="3" fillId="0" borderId="77" xfId="42" applyFont="1" applyFill="1" applyBorder="1" applyAlignment="1" applyProtection="1">
      <alignment horizontal="left" vertical="top" wrapText="1"/>
    </xf>
    <xf numFmtId="0" fontId="3" fillId="0" borderId="51" xfId="42" applyFont="1" applyFill="1" applyBorder="1" applyAlignment="1" applyProtection="1">
      <alignment horizontal="left" vertical="top" wrapText="1"/>
    </xf>
    <xf numFmtId="0" fontId="3" fillId="0" borderId="117" xfId="46" applyFont="1" applyBorder="1" applyAlignment="1" applyProtection="1">
      <alignment horizontal="left" vertical="top" wrapText="1"/>
    </xf>
    <xf numFmtId="0" fontId="3" fillId="0" borderId="76" xfId="46" applyFont="1" applyBorder="1" applyAlignment="1" applyProtection="1">
      <alignment horizontal="left" vertical="top" wrapText="1"/>
    </xf>
    <xf numFmtId="0" fontId="3" fillId="0" borderId="215" xfId="47" applyFont="1" applyBorder="1" applyAlignment="1" applyProtection="1">
      <alignment horizontal="left" vertical="top" wrapText="1"/>
    </xf>
    <xf numFmtId="0" fontId="3" fillId="0" borderId="209" xfId="47" applyFont="1" applyBorder="1" applyAlignment="1" applyProtection="1">
      <alignment horizontal="left" vertical="top" wrapText="1"/>
    </xf>
    <xf numFmtId="0" fontId="3" fillId="0" borderId="66" xfId="42" applyFont="1" applyFill="1" applyBorder="1" applyAlignment="1" applyProtection="1">
      <alignment horizontal="left" vertical="top" wrapText="1"/>
    </xf>
    <xf numFmtId="0" fontId="3" fillId="0" borderId="67" xfId="42" applyFont="1" applyFill="1" applyBorder="1" applyAlignment="1" applyProtection="1">
      <alignment horizontal="left" vertical="top" wrapText="1"/>
    </xf>
    <xf numFmtId="0" fontId="4" fillId="0" borderId="215" xfId="47" applyFont="1" applyFill="1" applyBorder="1" applyAlignment="1" applyProtection="1">
      <alignment horizontal="left" vertical="top" wrapText="1"/>
    </xf>
    <xf numFmtId="0" fontId="4" fillId="0" borderId="209" xfId="47" applyFont="1" applyFill="1" applyBorder="1" applyAlignment="1" applyProtection="1">
      <alignment horizontal="left" vertical="top" wrapText="1"/>
    </xf>
    <xf numFmtId="0" fontId="3" fillId="0" borderId="11" xfId="42" applyFont="1" applyBorder="1" applyAlignment="1">
      <alignment horizontal="left" vertical="top" wrapText="1"/>
    </xf>
    <xf numFmtId="0" fontId="3" fillId="0" borderId="12" xfId="42" applyFont="1" applyBorder="1" applyAlignment="1">
      <alignment horizontal="left" vertical="top" wrapText="1"/>
    </xf>
    <xf numFmtId="0" fontId="3" fillId="0" borderId="31" xfId="42" applyFont="1" applyBorder="1" applyAlignment="1">
      <alignment horizontal="left" vertical="top" wrapText="1"/>
    </xf>
    <xf numFmtId="0" fontId="3" fillId="0" borderId="32" xfId="42" applyFont="1" applyBorder="1" applyAlignment="1">
      <alignment horizontal="left" vertical="top" wrapText="1"/>
    </xf>
    <xf numFmtId="0" fontId="4" fillId="0" borderId="149" xfId="42" applyFont="1" applyBorder="1" applyAlignment="1" applyProtection="1">
      <alignment horizontal="left" vertical="top"/>
    </xf>
    <xf numFmtId="0" fontId="4" fillId="0" borderId="149" xfId="42" applyFont="1" applyFill="1" applyBorder="1" applyAlignment="1" applyProtection="1">
      <alignment horizontal="center" vertical="top"/>
    </xf>
    <xf numFmtId="37" fontId="20" fillId="0" borderId="31" xfId="32" applyNumberFormat="1" applyFont="1" applyBorder="1" applyAlignment="1">
      <alignment horizontal="right"/>
    </xf>
    <xf numFmtId="37" fontId="20" fillId="0" borderId="32" xfId="32" applyNumberFormat="1" applyFont="1" applyBorder="1" applyAlignment="1">
      <alignment horizontal="right"/>
    </xf>
    <xf numFmtId="0" fontId="20" fillId="0" borderId="31" xfId="32" applyFont="1" applyBorder="1" applyAlignment="1">
      <alignment horizontal="center" vertical="center" wrapText="1"/>
    </xf>
    <xf numFmtId="0" fontId="20" fillId="0" borderId="32" xfId="32" applyFont="1" applyBorder="1" applyAlignment="1">
      <alignment horizontal="center" vertical="center" wrapText="1"/>
    </xf>
    <xf numFmtId="0" fontId="20" fillId="0" borderId="3" xfId="32" applyFont="1" applyFill="1" applyBorder="1" applyAlignment="1">
      <alignment horizontal="left"/>
    </xf>
    <xf numFmtId="0" fontId="20" fillId="0" borderId="32" xfId="32" applyFont="1" applyFill="1" applyBorder="1" applyAlignment="1">
      <alignment horizontal="left"/>
    </xf>
    <xf numFmtId="0" fontId="20" fillId="0" borderId="31" xfId="32" applyFont="1" applyBorder="1" applyAlignment="1">
      <alignment horizontal="left"/>
    </xf>
    <xf numFmtId="0" fontId="20" fillId="0" borderId="3" xfId="32" applyFont="1" applyBorder="1" applyAlignment="1">
      <alignment horizontal="left"/>
    </xf>
    <xf numFmtId="0" fontId="20" fillId="0" borderId="31" xfId="32" applyFont="1" applyFill="1" applyBorder="1" applyAlignment="1">
      <alignment horizontal="left"/>
    </xf>
    <xf numFmtId="0" fontId="20" fillId="0" borderId="3" xfId="32" applyFont="1" applyBorder="1" applyAlignment="1">
      <alignment horizontal="left" wrapText="1"/>
    </xf>
    <xf numFmtId="0" fontId="20" fillId="0" borderId="32" xfId="32" applyFont="1" applyBorder="1" applyAlignment="1">
      <alignment horizontal="left" wrapText="1"/>
    </xf>
    <xf numFmtId="0" fontId="20" fillId="0" borderId="3" xfId="32" applyFont="1" applyFill="1" applyBorder="1" applyAlignment="1">
      <alignment horizontal="left" wrapText="1"/>
    </xf>
    <xf numFmtId="0" fontId="20" fillId="0" borderId="32" xfId="32" applyFont="1" applyFill="1" applyBorder="1" applyAlignment="1">
      <alignment horizontal="left" wrapText="1"/>
    </xf>
    <xf numFmtId="0" fontId="20" fillId="0" borderId="347" xfId="32" applyFont="1" applyBorder="1" applyAlignment="1">
      <alignment horizontal="left" wrapText="1"/>
    </xf>
    <xf numFmtId="0" fontId="20" fillId="0" borderId="348" xfId="32" applyFont="1" applyBorder="1" applyAlignment="1">
      <alignment horizontal="left" wrapText="1"/>
    </xf>
  </cellXfs>
  <cellStyles count="65">
    <cellStyle name="Bad 2" xfId="1"/>
    <cellStyle name="Comma  - Style3" xfId="2"/>
    <cellStyle name="Comma 2" xfId="3"/>
    <cellStyle name="Comma 2 2" xfId="4"/>
    <cellStyle name="Comma 3" xfId="5"/>
    <cellStyle name="Comma 4" xfId="6"/>
    <cellStyle name="Comma 5" xfId="7"/>
    <cellStyle name="Comma0 - Style1" xfId="8"/>
    <cellStyle name="Comma0 - Style2" xfId="9"/>
    <cellStyle name="Comma1 - Style1" xfId="10"/>
    <cellStyle name="Currency 2" xfId="11"/>
    <cellStyle name="Currency 2 2" xfId="12"/>
    <cellStyle name="Currency 3" xfId="13"/>
    <cellStyle name="Currency 4" xfId="14"/>
    <cellStyle name="Currency 5" xfId="15"/>
    <cellStyle name="Currency 5 2" xfId="16"/>
    <cellStyle name="Custom - Style8" xfId="17"/>
    <cellStyle name="Data   - Style2" xfId="18"/>
    <cellStyle name="Grey" xfId="19"/>
    <cellStyle name="Header1" xfId="20"/>
    <cellStyle name="Header2" xfId="21"/>
    <cellStyle name="Hyperlink 2" xfId="22"/>
    <cellStyle name="Input [yellow]" xfId="23"/>
    <cellStyle name="Labels - Style3" xfId="24"/>
    <cellStyle name="Normal" xfId="0" builtinId="0"/>
    <cellStyle name="Normal - Style1" xfId="25"/>
    <cellStyle name="Normal 10" xfId="26"/>
    <cellStyle name="Normal 11" xfId="27"/>
    <cellStyle name="Normal 12" xfId="28"/>
    <cellStyle name="Normal 13" xfId="29"/>
    <cellStyle name="Normal 14" xfId="30"/>
    <cellStyle name="Normal 15" xfId="64"/>
    <cellStyle name="Normal 2" xfId="31"/>
    <cellStyle name="Normal 2 2" xfId="32"/>
    <cellStyle name="Normal 2 3" xfId="33"/>
    <cellStyle name="Normal 2 4" xfId="34"/>
    <cellStyle name="Normal 3" xfId="35"/>
    <cellStyle name="Normal 3 2" xfId="36"/>
    <cellStyle name="Normal 4" xfId="37"/>
    <cellStyle name="Normal 4 2" xfId="38"/>
    <cellStyle name="Normal 5" xfId="39"/>
    <cellStyle name="Normal 6" xfId="40"/>
    <cellStyle name="Normal 7" xfId="41"/>
    <cellStyle name="Normal 8" xfId="42"/>
    <cellStyle name="Normal 9" xfId="43"/>
    <cellStyle name="Normal_Bids 2002 WC San Jac" xfId="44"/>
    <cellStyle name="Normal_Bids 2004 Spreadsheet" xfId="45"/>
    <cellStyle name="Normal_Bids 2004 Spreadsheet 2 2 2" xfId="46"/>
    <cellStyle name="Normal_Bids 2004 Spreadsheet 2 3" xfId="47"/>
    <cellStyle name="Normal_Claims 2004 2" xfId="48"/>
    <cellStyle name="Normal_Results Summary EPCC 2006" xfId="49"/>
    <cellStyle name="Percent [2]" xfId="50"/>
    <cellStyle name="Percent 2" xfId="51"/>
    <cellStyle name="Percent 2 2" xfId="52"/>
    <cellStyle name="Percent 3" xfId="53"/>
    <cellStyle name="Percent 3 2" xfId="54"/>
    <cellStyle name="Percent 4" xfId="55"/>
    <cellStyle name="Percent 5" xfId="56"/>
    <cellStyle name="Percent 6" xfId="57"/>
    <cellStyle name="Percent 7" xfId="58"/>
    <cellStyle name="Reset  - Style7" xfId="59"/>
    <cellStyle name="Table  - Style6" xfId="60"/>
    <cellStyle name="Title  - Style1" xfId="61"/>
    <cellStyle name="TotCol - Style5" xfId="62"/>
    <cellStyle name="TotRow - Style4" xfId="63"/>
  </cellStyles>
  <dxfs count="0"/>
  <tableStyles count="0" defaultTableStyle="TableStyleMedium9" defaultPivotStyle="PivotStyleLight16"/>
  <colors>
    <mruColors>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meyer2/Local%20Settings/Temporary%20Internet%20Files/OLK541/Premium%20Comparison%20Spreadsheets%20Reddico%202008%20&amp;%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OOLS-Colleges/San%20Jacinto%20CC/SJC%202005/WC%20SJC%202005/SJC%202004/SJC%20RFP%202004/Vehicles%20SJC%202004%20Rev%2005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Coregis%202002/2002%20Quote%20Files/Sharyland%20ISD/Sharyland%20%20Mega%20Quo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Robert%20Reim/Local%20Settings/Temporary%20Internet%20Files/Content.Outlook/LLTVSH2S/Property%2001-31-10/1%20Del%20Mar%20RFP%20Documents%202007/Bids/Bid%20Spreadsheets%20Del%20Mar%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AT/Competition/Applications/TAPS/School/TAPSA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mdillard/Local%20Settings/Temporary%20Internet%20Files/OLK10/PEAT%20SCHOOL%20APP%2006_revison-07-08k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Questionnaire"/>
      <sheetName val="WC Rate Comparison"/>
      <sheetName val="GL Rate Comparison"/>
      <sheetName val="Vehicles"/>
      <sheetName val="Equipment"/>
      <sheetName val="DriversLiscList"/>
      <sheetName val="Equip Ded Option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hicles"/>
      <sheetName val="Equipment"/>
      <sheetName val="Sold Vehicle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lementation"/>
      <sheetName val="Updates"/>
      <sheetName val="Account Info"/>
      <sheetName val="Summary"/>
      <sheetName val="Auto Liab"/>
      <sheetName val="Auto Phys Dam"/>
      <sheetName val="Gen Liab"/>
      <sheetName val="Property"/>
      <sheetName val="Inland Marine"/>
      <sheetName val="Crime"/>
      <sheetName val="AL Rates"/>
      <sheetName val="APD Rates"/>
      <sheetName val="GL Rates"/>
      <sheetName val="Prop Rates"/>
      <sheetName val="IM Rates"/>
      <sheetName val="Crime Rates"/>
      <sheetName val="F&amp;Q Rates"/>
      <sheetName val="Exp Rating Input"/>
      <sheetName val="Exp Rating"/>
      <sheetName val="Schedule Rating"/>
      <sheetName val="AL Sch"/>
      <sheetName val="GL Sch"/>
      <sheetName val="Prop Sch"/>
      <sheetName val="Exported Data"/>
      <sheetName val="states"/>
      <sheetName val="Terr"/>
      <sheetName val="ELRs"/>
      <sheetName val="LDFs-1997"/>
      <sheetName val="Table N-1997"/>
      <sheetName val="Exposures"/>
      <sheetName val="Quoter"/>
      <sheetName val="Forms List"/>
      <sheetName val="QCC"/>
      <sheetName val="pw"/>
    </sheetNames>
    <sheetDataSet>
      <sheetData sheetId="0"/>
      <sheetData sheetId="1"/>
      <sheetData sheetId="2">
        <row r="43">
          <cell r="AD43">
            <v>1</v>
          </cell>
        </row>
        <row r="54">
          <cell r="AG54" t="str">
            <v>MPP</v>
          </cell>
        </row>
        <row r="55">
          <cell r="AG55" t="str">
            <v>Public Schools</v>
          </cell>
        </row>
        <row r="56">
          <cell r="AG56" t="str">
            <v>Private Schools</v>
          </cell>
        </row>
        <row r="65">
          <cell r="M65">
            <v>1.0303030303030303</v>
          </cell>
        </row>
      </sheetData>
      <sheetData sheetId="3"/>
      <sheetData sheetId="4"/>
      <sheetData sheetId="5"/>
      <sheetData sheetId="6"/>
      <sheetData sheetId="7"/>
      <sheetData sheetId="8"/>
      <sheetData sheetId="9"/>
      <sheetData sheetId="10"/>
      <sheetData sheetId="11"/>
      <sheetData sheetId="12">
        <row r="2">
          <cell r="CU2" t="str">
            <v>1 - Dallas</v>
          </cell>
        </row>
        <row r="3">
          <cell r="CU3" t="str">
            <v>2 - Fort Worth</v>
          </cell>
        </row>
        <row r="4">
          <cell r="CU4" t="str">
            <v>3 - San Antonio</v>
          </cell>
        </row>
        <row r="5">
          <cell r="CU5" t="str">
            <v>4 - Houston</v>
          </cell>
        </row>
        <row r="6">
          <cell r="CU6" t="str">
            <v>5 - El Paso, Galveston, Jefferson, Nueces, and Travis Counties</v>
          </cell>
        </row>
        <row r="7">
          <cell r="CU7" t="str">
            <v>6 - Remainder of State</v>
          </cell>
        </row>
        <row r="8">
          <cell r="CU8" t="str">
            <v>7 - Cameron, Hidalgo, and Willacy Counties</v>
          </cell>
        </row>
        <row r="9">
          <cell r="CU9" t="str">
            <v>8 - Harris County Remainder</v>
          </cell>
        </row>
        <row r="67">
          <cell r="V67" t="str">
            <v>100K/300K</v>
          </cell>
        </row>
        <row r="68">
          <cell r="V68" t="str">
            <v>200K/600K</v>
          </cell>
        </row>
        <row r="69">
          <cell r="V69" t="str">
            <v>300K/900K</v>
          </cell>
        </row>
        <row r="70">
          <cell r="V70" t="str">
            <v>400K/1.2M</v>
          </cell>
        </row>
        <row r="71">
          <cell r="V71" t="str">
            <v>500K/1.5M</v>
          </cell>
        </row>
        <row r="72">
          <cell r="V72" t="str">
            <v>750K/2.25M</v>
          </cell>
        </row>
        <row r="73">
          <cell r="V73" t="str">
            <v>1M/1M</v>
          </cell>
        </row>
        <row r="74">
          <cell r="V74" t="str">
            <v>1M/2M</v>
          </cell>
        </row>
        <row r="75">
          <cell r="V75" t="str">
            <v>1M/3M</v>
          </cell>
        </row>
        <row r="76">
          <cell r="V76" t="str">
            <v>2M/2M</v>
          </cell>
        </row>
        <row r="77">
          <cell r="V77" t="str">
            <v>2M/3M</v>
          </cell>
        </row>
        <row r="78">
          <cell r="V78" t="str">
            <v>2M/4M</v>
          </cell>
        </row>
        <row r="79">
          <cell r="V79" t="str">
            <v>2M/5M</v>
          </cell>
        </row>
        <row r="80">
          <cell r="V80" t="str">
            <v>2M/6M</v>
          </cell>
        </row>
        <row r="81">
          <cell r="V81" t="str">
            <v>3M/3M</v>
          </cell>
        </row>
        <row r="82">
          <cell r="V82" t="str">
            <v>3M/4M</v>
          </cell>
        </row>
        <row r="83">
          <cell r="V83" t="str">
            <v>3M/5M</v>
          </cell>
        </row>
        <row r="84">
          <cell r="B84">
            <v>5000</v>
          </cell>
          <cell r="V84" t="str">
            <v>3M/9M</v>
          </cell>
        </row>
        <row r="85">
          <cell r="B85">
            <v>10000</v>
          </cell>
          <cell r="V85" t="str">
            <v>4M/4M</v>
          </cell>
        </row>
        <row r="86">
          <cell r="B86">
            <v>15000</v>
          </cell>
          <cell r="V86" t="str">
            <v>4M/5M</v>
          </cell>
        </row>
        <row r="87">
          <cell r="B87">
            <v>20000</v>
          </cell>
          <cell r="V87" t="str">
            <v>4M/6M</v>
          </cell>
        </row>
        <row r="88">
          <cell r="B88">
            <v>25000</v>
          </cell>
          <cell r="V88" t="str">
            <v>5M/5M</v>
          </cell>
        </row>
        <row r="89">
          <cell r="B89">
            <v>30000</v>
          </cell>
          <cell r="V89" t="str">
            <v>5M/6M</v>
          </cell>
        </row>
        <row r="90">
          <cell r="B90">
            <v>35000</v>
          </cell>
          <cell r="V90" t="str">
            <v>5M/7M</v>
          </cell>
        </row>
        <row r="91">
          <cell r="B91">
            <v>40000</v>
          </cell>
          <cell r="V91" t="str">
            <v>6M/6M</v>
          </cell>
        </row>
        <row r="92">
          <cell r="B92">
            <v>45000</v>
          </cell>
          <cell r="V92" t="str">
            <v>6M/7M</v>
          </cell>
        </row>
        <row r="93">
          <cell r="B93">
            <v>50000</v>
          </cell>
          <cell r="V93" t="str">
            <v>6M/8M</v>
          </cell>
        </row>
        <row r="94">
          <cell r="V94" t="str">
            <v>7M/7M</v>
          </cell>
        </row>
        <row r="95">
          <cell r="V95" t="str">
            <v>7M/8M</v>
          </cell>
        </row>
        <row r="96">
          <cell r="V96" t="str">
            <v>7M/9M</v>
          </cell>
        </row>
        <row r="97">
          <cell r="V97" t="str">
            <v>8M/8M</v>
          </cell>
        </row>
        <row r="98">
          <cell r="N98">
            <v>0</v>
          </cell>
          <cell r="Q98">
            <v>0</v>
          </cell>
          <cell r="T98">
            <v>0</v>
          </cell>
          <cell r="V98" t="str">
            <v>8M/9M</v>
          </cell>
        </row>
        <row r="99">
          <cell r="N99">
            <v>10000</v>
          </cell>
          <cell r="Q99">
            <v>1000</v>
          </cell>
          <cell r="V99" t="str">
            <v>8M/10M</v>
          </cell>
        </row>
        <row r="100">
          <cell r="N100">
            <v>15000</v>
          </cell>
          <cell r="Q100">
            <v>2000</v>
          </cell>
          <cell r="V100" t="str">
            <v>9M/9M</v>
          </cell>
        </row>
        <row r="101">
          <cell r="N101">
            <v>20000</v>
          </cell>
          <cell r="Q101">
            <v>2500</v>
          </cell>
          <cell r="V101" t="str">
            <v>9M/10M</v>
          </cell>
        </row>
        <row r="102">
          <cell r="N102">
            <v>25000</v>
          </cell>
          <cell r="Q102">
            <v>3000</v>
          </cell>
          <cell r="V102" t="str">
            <v>9M/11M</v>
          </cell>
        </row>
        <row r="103">
          <cell r="N103">
            <v>50000</v>
          </cell>
          <cell r="Q103">
            <v>4000</v>
          </cell>
          <cell r="V103" t="str">
            <v>10M/10M</v>
          </cell>
        </row>
        <row r="104">
          <cell r="N104">
            <v>75000</v>
          </cell>
          <cell r="Q104">
            <v>5000</v>
          </cell>
          <cell r="V104" t="str">
            <v>10M/11M</v>
          </cell>
        </row>
        <row r="105">
          <cell r="N105">
            <v>100000</v>
          </cell>
          <cell r="Q105">
            <v>10000</v>
          </cell>
          <cell r="V105" t="str">
            <v>10M/12M</v>
          </cell>
        </row>
        <row r="106">
          <cell r="N106">
            <v>150000</v>
          </cell>
          <cell r="Q106">
            <v>15000</v>
          </cell>
          <cell r="V106" t="str">
            <v>11M/11M</v>
          </cell>
        </row>
        <row r="107">
          <cell r="N107">
            <v>200000</v>
          </cell>
          <cell r="Q107">
            <v>20000</v>
          </cell>
          <cell r="V107" t="str">
            <v>11M/12M</v>
          </cell>
        </row>
        <row r="108">
          <cell r="N108">
            <v>250000</v>
          </cell>
          <cell r="Q108">
            <v>25000</v>
          </cell>
          <cell r="V108" t="str">
            <v>11M/13M</v>
          </cell>
        </row>
        <row r="109">
          <cell r="N109">
            <v>300000</v>
          </cell>
          <cell r="Q109">
            <v>50000</v>
          </cell>
        </row>
        <row r="110">
          <cell r="N110">
            <v>350000</v>
          </cell>
          <cell r="Q110">
            <v>75000</v>
          </cell>
        </row>
        <row r="111">
          <cell r="N111">
            <v>400000</v>
          </cell>
          <cell r="Q111">
            <v>100000</v>
          </cell>
        </row>
        <row r="112">
          <cell r="N112">
            <v>500000</v>
          </cell>
        </row>
        <row r="113">
          <cell r="N113">
            <v>600000</v>
          </cell>
        </row>
        <row r="114">
          <cell r="N114">
            <v>700000</v>
          </cell>
        </row>
        <row r="115">
          <cell r="N115">
            <v>750000</v>
          </cell>
        </row>
        <row r="116">
          <cell r="N116">
            <v>800000</v>
          </cell>
        </row>
        <row r="117">
          <cell r="N117">
            <v>900000</v>
          </cell>
        </row>
        <row r="118">
          <cell r="N118">
            <v>1000000</v>
          </cell>
        </row>
      </sheetData>
      <sheetData sheetId="13">
        <row r="2">
          <cell r="BV2" t="str">
            <v>1 - County Group A</v>
          </cell>
        </row>
        <row r="3">
          <cell r="BV3" t="str">
            <v>2 - County Group B</v>
          </cell>
        </row>
        <row r="4">
          <cell r="BV4" t="str">
            <v>3 - County Group C</v>
          </cell>
        </row>
        <row r="7">
          <cell r="L7">
            <v>1000</v>
          </cell>
        </row>
        <row r="8">
          <cell r="L8">
            <v>1500</v>
          </cell>
        </row>
        <row r="9">
          <cell r="L9">
            <v>2000</v>
          </cell>
        </row>
        <row r="10">
          <cell r="L10">
            <v>2500</v>
          </cell>
        </row>
        <row r="11">
          <cell r="L11">
            <v>3000</v>
          </cell>
        </row>
        <row r="12">
          <cell r="L12">
            <v>3500</v>
          </cell>
        </row>
        <row r="13">
          <cell r="L13">
            <v>4000</v>
          </cell>
        </row>
        <row r="14">
          <cell r="L14">
            <v>4500</v>
          </cell>
        </row>
        <row r="15">
          <cell r="L15">
            <v>5000</v>
          </cell>
        </row>
        <row r="16">
          <cell r="L16">
            <v>7500</v>
          </cell>
        </row>
        <row r="17">
          <cell r="L17">
            <v>10000</v>
          </cell>
        </row>
        <row r="18">
          <cell r="L18">
            <v>25000</v>
          </cell>
        </row>
        <row r="19">
          <cell r="L19">
            <v>50000</v>
          </cell>
        </row>
        <row r="20">
          <cell r="L20">
            <v>75000</v>
          </cell>
        </row>
        <row r="21">
          <cell r="L21">
            <v>100000</v>
          </cell>
        </row>
        <row r="22">
          <cell r="L22">
            <v>125000</v>
          </cell>
        </row>
        <row r="23">
          <cell r="L23">
            <v>150000</v>
          </cell>
        </row>
        <row r="24">
          <cell r="L24">
            <v>175000</v>
          </cell>
        </row>
        <row r="25">
          <cell r="L25">
            <v>200000</v>
          </cell>
        </row>
        <row r="26">
          <cell r="L26">
            <v>250000</v>
          </cell>
        </row>
        <row r="27">
          <cell r="L27">
            <v>300000</v>
          </cell>
        </row>
        <row r="28">
          <cell r="L28">
            <v>350000</v>
          </cell>
        </row>
        <row r="29">
          <cell r="L29">
            <v>400000</v>
          </cell>
        </row>
        <row r="30">
          <cell r="L30">
            <v>450000</v>
          </cell>
        </row>
        <row r="31">
          <cell r="L31">
            <v>500000</v>
          </cell>
        </row>
        <row r="32">
          <cell r="L32">
            <v>550000</v>
          </cell>
        </row>
        <row r="33">
          <cell r="L33">
            <v>600000</v>
          </cell>
        </row>
        <row r="34">
          <cell r="L34">
            <v>650000</v>
          </cell>
        </row>
        <row r="35">
          <cell r="L35">
            <v>700000</v>
          </cell>
        </row>
        <row r="36">
          <cell r="L36">
            <v>750000</v>
          </cell>
        </row>
        <row r="37">
          <cell r="L37">
            <v>800000</v>
          </cell>
        </row>
        <row r="38">
          <cell r="L38">
            <v>850000</v>
          </cell>
        </row>
        <row r="39">
          <cell r="L39">
            <v>900000</v>
          </cell>
        </row>
        <row r="40">
          <cell r="L40">
            <v>950000</v>
          </cell>
        </row>
        <row r="41">
          <cell r="L41">
            <v>1000000</v>
          </cell>
        </row>
      </sheetData>
      <sheetData sheetId="14">
        <row r="8">
          <cell r="H8">
            <v>500</v>
          </cell>
        </row>
        <row r="9">
          <cell r="H9">
            <v>750</v>
          </cell>
        </row>
        <row r="10">
          <cell r="H10">
            <v>1000</v>
          </cell>
        </row>
        <row r="11">
          <cell r="H11">
            <v>1500</v>
          </cell>
        </row>
        <row r="12">
          <cell r="H12">
            <v>2000</v>
          </cell>
        </row>
        <row r="13">
          <cell r="H13">
            <v>2500</v>
          </cell>
        </row>
        <row r="14">
          <cell r="H14">
            <v>3000</v>
          </cell>
        </row>
        <row r="15">
          <cell r="H15">
            <v>3500</v>
          </cell>
        </row>
        <row r="16">
          <cell r="H16">
            <v>4000</v>
          </cell>
        </row>
        <row r="17">
          <cell r="H17">
            <v>4500</v>
          </cell>
        </row>
        <row r="18">
          <cell r="H18">
            <v>5000</v>
          </cell>
        </row>
        <row r="19">
          <cell r="H19">
            <v>7500</v>
          </cell>
        </row>
        <row r="20">
          <cell r="H20">
            <v>10000</v>
          </cell>
        </row>
        <row r="21">
          <cell r="H21">
            <v>25000</v>
          </cell>
        </row>
        <row r="22">
          <cell r="H22">
            <v>50000</v>
          </cell>
        </row>
        <row r="23">
          <cell r="H23">
            <v>75000</v>
          </cell>
        </row>
        <row r="24">
          <cell r="H24">
            <v>100000</v>
          </cell>
        </row>
        <row r="25">
          <cell r="H25">
            <v>125000</v>
          </cell>
        </row>
        <row r="26">
          <cell r="H26">
            <v>150000</v>
          </cell>
        </row>
        <row r="27">
          <cell r="H27">
            <v>175000</v>
          </cell>
        </row>
        <row r="28">
          <cell r="H28">
            <v>200000</v>
          </cell>
        </row>
        <row r="29">
          <cell r="H29">
            <v>250000</v>
          </cell>
        </row>
        <row r="30">
          <cell r="H30">
            <v>300000</v>
          </cell>
        </row>
        <row r="31">
          <cell r="H31">
            <v>350000</v>
          </cell>
        </row>
        <row r="32">
          <cell r="H32">
            <v>400000</v>
          </cell>
        </row>
        <row r="33">
          <cell r="H33">
            <v>450000</v>
          </cell>
        </row>
        <row r="34">
          <cell r="H34">
            <v>500000</v>
          </cell>
        </row>
        <row r="35">
          <cell r="H35">
            <v>550000</v>
          </cell>
        </row>
        <row r="36">
          <cell r="H36">
            <v>600000</v>
          </cell>
        </row>
        <row r="37">
          <cell r="H37">
            <v>650000</v>
          </cell>
        </row>
        <row r="38">
          <cell r="H38">
            <v>700000</v>
          </cell>
        </row>
        <row r="39">
          <cell r="H39">
            <v>750000</v>
          </cell>
        </row>
        <row r="40">
          <cell r="H40">
            <v>800000</v>
          </cell>
        </row>
        <row r="41">
          <cell r="H41">
            <v>850000</v>
          </cell>
        </row>
        <row r="42">
          <cell r="H42">
            <v>900000</v>
          </cell>
        </row>
        <row r="43">
          <cell r="H43">
            <v>950000</v>
          </cell>
        </row>
        <row r="44">
          <cell r="H44">
            <v>1000000</v>
          </cell>
        </row>
      </sheetData>
      <sheetData sheetId="15">
        <row r="28">
          <cell r="B28">
            <v>5000</v>
          </cell>
          <cell r="E28">
            <v>5000</v>
          </cell>
        </row>
        <row r="29">
          <cell r="B29">
            <v>10000</v>
          </cell>
          <cell r="E29">
            <v>10000</v>
          </cell>
        </row>
        <row r="30">
          <cell r="B30">
            <v>15000</v>
          </cell>
          <cell r="E30">
            <v>15000</v>
          </cell>
        </row>
        <row r="31">
          <cell r="B31">
            <v>25000</v>
          </cell>
          <cell r="E31">
            <v>25000</v>
          </cell>
        </row>
        <row r="32">
          <cell r="B32">
            <v>50000</v>
          </cell>
          <cell r="E32">
            <v>50000</v>
          </cell>
        </row>
        <row r="33">
          <cell r="B33">
            <v>75000</v>
          </cell>
          <cell r="E33">
            <v>75000</v>
          </cell>
        </row>
        <row r="34">
          <cell r="B34">
            <v>100000</v>
          </cell>
          <cell r="E34">
            <v>100000</v>
          </cell>
        </row>
        <row r="35">
          <cell r="B35">
            <v>150000</v>
          </cell>
          <cell r="E35">
            <v>150000</v>
          </cell>
        </row>
        <row r="36">
          <cell r="B36">
            <v>200000</v>
          </cell>
          <cell r="E36">
            <v>200000</v>
          </cell>
        </row>
        <row r="37">
          <cell r="B37">
            <v>250000</v>
          </cell>
          <cell r="E37">
            <v>250000</v>
          </cell>
        </row>
        <row r="38">
          <cell r="B38">
            <v>300000</v>
          </cell>
          <cell r="E38">
            <v>300000</v>
          </cell>
        </row>
        <row r="39">
          <cell r="B39">
            <v>350000</v>
          </cell>
          <cell r="E39">
            <v>350000</v>
          </cell>
        </row>
        <row r="40">
          <cell r="B40">
            <v>400000</v>
          </cell>
          <cell r="E40">
            <v>400000</v>
          </cell>
        </row>
        <row r="41">
          <cell r="B41">
            <v>450000</v>
          </cell>
          <cell r="E41">
            <v>450000</v>
          </cell>
        </row>
        <row r="42">
          <cell r="B42">
            <v>500000</v>
          </cell>
          <cell r="E42">
            <v>500000</v>
          </cell>
        </row>
        <row r="49">
          <cell r="B49">
            <v>5000</v>
          </cell>
        </row>
        <row r="50">
          <cell r="B50">
            <v>10000</v>
          </cell>
        </row>
        <row r="51">
          <cell r="B51">
            <v>15000</v>
          </cell>
        </row>
        <row r="52">
          <cell r="B52">
            <v>25000</v>
          </cell>
        </row>
        <row r="53">
          <cell r="B53">
            <v>50000</v>
          </cell>
        </row>
        <row r="54">
          <cell r="B54">
            <v>75000</v>
          </cell>
        </row>
        <row r="55">
          <cell r="B55">
            <v>100000</v>
          </cell>
        </row>
        <row r="56">
          <cell r="B56">
            <v>150000</v>
          </cell>
        </row>
        <row r="57">
          <cell r="B57">
            <v>200000</v>
          </cell>
        </row>
        <row r="58">
          <cell r="B58">
            <v>250000</v>
          </cell>
        </row>
        <row r="59">
          <cell r="B59">
            <v>300000</v>
          </cell>
        </row>
        <row r="60">
          <cell r="B60">
            <v>350000</v>
          </cell>
        </row>
        <row r="61">
          <cell r="B61">
            <v>400000</v>
          </cell>
        </row>
        <row r="62">
          <cell r="B62">
            <v>450000</v>
          </cell>
        </row>
        <row r="63">
          <cell r="B63">
            <v>500000</v>
          </cell>
        </row>
        <row r="71">
          <cell r="B71">
            <v>500</v>
          </cell>
        </row>
        <row r="72">
          <cell r="B72">
            <v>1000</v>
          </cell>
        </row>
        <row r="73">
          <cell r="B73">
            <v>2500</v>
          </cell>
        </row>
        <row r="74">
          <cell r="B74">
            <v>3000</v>
          </cell>
        </row>
        <row r="75">
          <cell r="B75">
            <v>3500</v>
          </cell>
        </row>
        <row r="76">
          <cell r="B76">
            <v>4000</v>
          </cell>
        </row>
        <row r="77">
          <cell r="B77">
            <v>4500</v>
          </cell>
        </row>
        <row r="78">
          <cell r="B78">
            <v>5000</v>
          </cell>
        </row>
        <row r="79">
          <cell r="B79">
            <v>7500</v>
          </cell>
        </row>
        <row r="80">
          <cell r="B80">
            <v>10000</v>
          </cell>
        </row>
        <row r="81">
          <cell r="B81">
            <v>15000</v>
          </cell>
        </row>
        <row r="82">
          <cell r="B82">
            <v>25000</v>
          </cell>
        </row>
        <row r="83">
          <cell r="B83">
            <v>50000</v>
          </cell>
        </row>
        <row r="84">
          <cell r="B84">
            <v>75000</v>
          </cell>
        </row>
        <row r="85">
          <cell r="B85">
            <v>100000</v>
          </cell>
        </row>
      </sheetData>
      <sheetData sheetId="16">
        <row r="10">
          <cell r="C10">
            <v>500000</v>
          </cell>
          <cell r="D10">
            <v>1000000</v>
          </cell>
          <cell r="E10">
            <v>2000000</v>
          </cell>
          <cell r="F10">
            <v>2500000</v>
          </cell>
          <cell r="G10">
            <v>3000000</v>
          </cell>
          <cell r="H10">
            <v>4000000</v>
          </cell>
          <cell r="I10">
            <v>5000000</v>
          </cell>
          <cell r="J10">
            <v>6000000</v>
          </cell>
          <cell r="K10">
            <v>7000000</v>
          </cell>
          <cell r="L10">
            <v>7500000</v>
          </cell>
          <cell r="M10">
            <v>8000000</v>
          </cell>
          <cell r="N10">
            <v>9000000</v>
          </cell>
          <cell r="O10">
            <v>10000000</v>
          </cell>
        </row>
        <row r="12">
          <cell r="B12">
            <v>25000</v>
          </cell>
        </row>
        <row r="13">
          <cell r="B13">
            <v>50000</v>
          </cell>
        </row>
        <row r="14">
          <cell r="B14">
            <v>75000</v>
          </cell>
        </row>
        <row r="15">
          <cell r="B15">
            <v>100000</v>
          </cell>
        </row>
        <row r="16">
          <cell r="B16">
            <v>200000</v>
          </cell>
        </row>
        <row r="17">
          <cell r="B17">
            <v>250000</v>
          </cell>
        </row>
        <row r="18">
          <cell r="B18">
            <v>300000</v>
          </cell>
        </row>
        <row r="19">
          <cell r="B19">
            <v>400000</v>
          </cell>
        </row>
        <row r="20">
          <cell r="B20">
            <v>500000</v>
          </cell>
        </row>
        <row r="21">
          <cell r="B21">
            <v>600000</v>
          </cell>
        </row>
        <row r="22">
          <cell r="B22">
            <v>700000</v>
          </cell>
        </row>
        <row r="23">
          <cell r="B23">
            <v>750000</v>
          </cell>
        </row>
        <row r="24">
          <cell r="B24">
            <v>800000</v>
          </cell>
        </row>
        <row r="25">
          <cell r="B25">
            <v>900000</v>
          </cell>
        </row>
        <row r="26">
          <cell r="B26">
            <v>1000000</v>
          </cell>
        </row>
        <row r="44">
          <cell r="J44">
            <v>1</v>
          </cell>
          <cell r="K44">
            <v>2</v>
          </cell>
          <cell r="L44">
            <v>3</v>
          </cell>
          <cell r="M44">
            <v>4</v>
          </cell>
          <cell r="N44">
            <v>5</v>
          </cell>
        </row>
        <row r="50">
          <cell r="C50">
            <v>250000</v>
          </cell>
          <cell r="D50">
            <v>500000</v>
          </cell>
          <cell r="E50">
            <v>1000000</v>
          </cell>
          <cell r="F50">
            <v>2000000</v>
          </cell>
          <cell r="G50">
            <v>2500000</v>
          </cell>
          <cell r="H50">
            <v>3000000</v>
          </cell>
          <cell r="I50">
            <v>4000000</v>
          </cell>
          <cell r="J50">
            <v>5000000</v>
          </cell>
          <cell r="K50">
            <v>6000000</v>
          </cell>
          <cell r="L50">
            <v>7000000</v>
          </cell>
          <cell r="M50">
            <v>7500000</v>
          </cell>
          <cell r="N50">
            <v>8000000</v>
          </cell>
          <cell r="O50">
            <v>9000000</v>
          </cell>
          <cell r="P50">
            <v>10000000</v>
          </cell>
        </row>
        <row r="52">
          <cell r="B52">
            <v>25000</v>
          </cell>
        </row>
        <row r="53">
          <cell r="B53">
            <v>50000</v>
          </cell>
        </row>
        <row r="54">
          <cell r="B54">
            <v>75000</v>
          </cell>
        </row>
        <row r="55">
          <cell r="B55">
            <v>100000</v>
          </cell>
        </row>
        <row r="56">
          <cell r="B56">
            <v>200000</v>
          </cell>
        </row>
        <row r="57">
          <cell r="B57">
            <v>250000</v>
          </cell>
        </row>
        <row r="58">
          <cell r="B58">
            <v>300000</v>
          </cell>
        </row>
        <row r="59">
          <cell r="B59">
            <v>400000</v>
          </cell>
        </row>
        <row r="60">
          <cell r="B60">
            <v>500000</v>
          </cell>
        </row>
        <row r="61">
          <cell r="B61">
            <v>600000</v>
          </cell>
        </row>
        <row r="62">
          <cell r="B62">
            <v>700000</v>
          </cell>
        </row>
        <row r="63">
          <cell r="B63">
            <v>750000</v>
          </cell>
        </row>
        <row r="64">
          <cell r="B64">
            <v>800000</v>
          </cell>
        </row>
        <row r="65">
          <cell r="B65">
            <v>900000</v>
          </cell>
        </row>
        <row r="66">
          <cell r="B66">
            <v>1000000</v>
          </cell>
        </row>
      </sheetData>
      <sheetData sheetId="17"/>
      <sheetData sheetId="18"/>
      <sheetData sheetId="19">
        <row r="55">
          <cell r="P55">
            <v>0</v>
          </cell>
        </row>
        <row r="98">
          <cell r="P98">
            <v>0</v>
          </cell>
        </row>
      </sheetData>
      <sheetData sheetId="20"/>
      <sheetData sheetId="21"/>
      <sheetData sheetId="22"/>
      <sheetData sheetId="23"/>
      <sheetData sheetId="24">
        <row r="4">
          <cell r="A4" t="str">
            <v>Alabama</v>
          </cell>
        </row>
        <row r="5">
          <cell r="A5" t="str">
            <v>Alaska</v>
          </cell>
        </row>
        <row r="6">
          <cell r="A6" t="str">
            <v>Arizona</v>
          </cell>
        </row>
        <row r="7">
          <cell r="A7" t="str">
            <v>Arkansas</v>
          </cell>
        </row>
        <row r="8">
          <cell r="A8" t="str">
            <v>California</v>
          </cell>
        </row>
        <row r="9">
          <cell r="A9" t="str">
            <v>Colorado</v>
          </cell>
        </row>
        <row r="10">
          <cell r="A10" t="str">
            <v>Connecticut</v>
          </cell>
        </row>
        <row r="11">
          <cell r="A11" t="str">
            <v>Delaware</v>
          </cell>
        </row>
        <row r="12">
          <cell r="A12" t="str">
            <v>District of Columbia</v>
          </cell>
        </row>
        <row r="13">
          <cell r="A13" t="str">
            <v>Florida</v>
          </cell>
        </row>
        <row r="14">
          <cell r="A14" t="str">
            <v>Georgia</v>
          </cell>
        </row>
        <row r="15">
          <cell r="A15" t="str">
            <v>Hawaii</v>
          </cell>
        </row>
        <row r="16">
          <cell r="A16" t="str">
            <v>Idaho</v>
          </cell>
        </row>
        <row r="17">
          <cell r="A17" t="str">
            <v>Illinois</v>
          </cell>
        </row>
        <row r="18">
          <cell r="A18" t="str">
            <v>Indiana</v>
          </cell>
        </row>
        <row r="19">
          <cell r="A19" t="str">
            <v>Iowa</v>
          </cell>
        </row>
        <row r="20">
          <cell r="A20" t="str">
            <v>Kansas</v>
          </cell>
        </row>
        <row r="21">
          <cell r="A21" t="str">
            <v>Kentucky</v>
          </cell>
        </row>
        <row r="22">
          <cell r="A22" t="str">
            <v>Louisiana</v>
          </cell>
        </row>
        <row r="23">
          <cell r="A23" t="str">
            <v>Maine</v>
          </cell>
        </row>
        <row r="24">
          <cell r="A24" t="str">
            <v>Maryland</v>
          </cell>
        </row>
        <row r="25">
          <cell r="A25" t="str">
            <v>Massachusetts</v>
          </cell>
        </row>
        <row r="26">
          <cell r="A26" t="str">
            <v>Michigan</v>
          </cell>
        </row>
        <row r="27">
          <cell r="A27" t="str">
            <v>Minnesota</v>
          </cell>
        </row>
        <row r="28">
          <cell r="A28" t="str">
            <v>Mississippi</v>
          </cell>
        </row>
        <row r="29">
          <cell r="A29" t="str">
            <v>Missouri</v>
          </cell>
        </row>
        <row r="30">
          <cell r="A30" t="str">
            <v>Montana</v>
          </cell>
        </row>
        <row r="31">
          <cell r="A31" t="str">
            <v>Nebraska</v>
          </cell>
        </row>
        <row r="32">
          <cell r="A32" t="str">
            <v>Nevada</v>
          </cell>
        </row>
        <row r="33">
          <cell r="A33" t="str">
            <v>New Hampshire</v>
          </cell>
        </row>
        <row r="34">
          <cell r="A34" t="str">
            <v>New Jersey</v>
          </cell>
        </row>
        <row r="35">
          <cell r="A35" t="str">
            <v>New Mexico</v>
          </cell>
        </row>
        <row r="36">
          <cell r="A36" t="str">
            <v>New York</v>
          </cell>
        </row>
        <row r="37">
          <cell r="A37" t="str">
            <v>North Carolina</v>
          </cell>
        </row>
        <row r="38">
          <cell r="A38" t="str">
            <v>North Dakota</v>
          </cell>
        </row>
        <row r="39">
          <cell r="A39" t="str">
            <v>Ohio</v>
          </cell>
        </row>
        <row r="40">
          <cell r="A40" t="str">
            <v>Oklahoma</v>
          </cell>
        </row>
        <row r="41">
          <cell r="A41" t="str">
            <v>Oregon</v>
          </cell>
        </row>
        <row r="42">
          <cell r="A42" t="str">
            <v>Pennsylvania</v>
          </cell>
        </row>
        <row r="43">
          <cell r="A43" t="str">
            <v>Rhode Island</v>
          </cell>
        </row>
        <row r="44">
          <cell r="A44" t="str">
            <v>South Carolina</v>
          </cell>
        </row>
        <row r="45">
          <cell r="A45" t="str">
            <v>South Dakota</v>
          </cell>
        </row>
        <row r="46">
          <cell r="A46" t="str">
            <v>Tennessee</v>
          </cell>
        </row>
        <row r="47">
          <cell r="A47" t="str">
            <v>Texas</v>
          </cell>
        </row>
        <row r="48">
          <cell r="A48" t="str">
            <v>Utah</v>
          </cell>
        </row>
        <row r="49">
          <cell r="A49" t="str">
            <v>Vermont</v>
          </cell>
        </row>
        <row r="50">
          <cell r="A50" t="str">
            <v>Virginia</v>
          </cell>
        </row>
        <row r="51">
          <cell r="A51" t="str">
            <v>Washington</v>
          </cell>
        </row>
        <row r="52">
          <cell r="A52" t="str">
            <v>West Virginia</v>
          </cell>
        </row>
        <row r="53">
          <cell r="A53" t="str">
            <v>Wisconsin</v>
          </cell>
        </row>
        <row r="54">
          <cell r="A54" t="str">
            <v>Wyoming</v>
          </cell>
        </row>
      </sheetData>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Casualty"/>
      <sheetName val="Results Property)"/>
      <sheetName val="Results &amp; Spreadsheet WC"/>
      <sheetName val="Statistics"/>
      <sheetName val="Claims-Premium"/>
      <sheetName val="Bid Questionnaires"/>
      <sheetName val="Property"/>
      <sheetName val="Bldr Risk"/>
      <sheetName val="Vehic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emium-Loss Recap"/>
      <sheetName val="Property Statement of Values"/>
      <sheetName val="Property"/>
      <sheetName val="EDP Equip Systems"/>
      <sheetName val="Crime"/>
      <sheetName val="General Liability"/>
      <sheetName val="E &amp; O"/>
      <sheetName val="Automobile"/>
      <sheetName val="Automobile Schedule"/>
      <sheetName val="Signatures"/>
      <sheetName val="Rating Worksheet"/>
      <sheetName val="Proposal-Loss Model"/>
      <sheetName val="IRPM Notes"/>
      <sheetName val="Proposal"/>
      <sheetName val="Declarations Page"/>
      <sheetName val="Notice to Accounting"/>
      <sheetName val="Invoice"/>
      <sheetName val="Auto ID Card Template"/>
    </sheetNames>
    <sheetDataSet>
      <sheetData sheetId="0"/>
      <sheetData sheetId="1"/>
      <sheetData sheetId="2" refreshError="1">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7">
          <cell r="L37">
            <v>0</v>
          </cell>
        </row>
        <row r="38">
          <cell r="L38">
            <v>0</v>
          </cell>
        </row>
        <row r="39">
          <cell r="L39">
            <v>0</v>
          </cell>
        </row>
        <row r="40">
          <cell r="L40">
            <v>0</v>
          </cell>
        </row>
        <row r="41">
          <cell r="L41">
            <v>0</v>
          </cell>
        </row>
        <row r="42">
          <cell r="L42">
            <v>0</v>
          </cell>
        </row>
        <row r="43">
          <cell r="L43">
            <v>0</v>
          </cell>
        </row>
        <row r="44">
          <cell r="L44">
            <v>0</v>
          </cell>
        </row>
        <row r="45">
          <cell r="L45">
            <v>0</v>
          </cell>
        </row>
        <row r="46">
          <cell r="L46">
            <v>0</v>
          </cell>
        </row>
        <row r="47">
          <cell r="L47">
            <v>0</v>
          </cell>
        </row>
        <row r="48">
          <cell r="L48">
            <v>0</v>
          </cell>
        </row>
        <row r="49">
          <cell r="L49">
            <v>0</v>
          </cell>
        </row>
        <row r="50">
          <cell r="L50">
            <v>0</v>
          </cell>
        </row>
        <row r="51">
          <cell r="L51">
            <v>0</v>
          </cell>
        </row>
        <row r="52">
          <cell r="L52">
            <v>0</v>
          </cell>
        </row>
        <row r="53">
          <cell r="L53">
            <v>0</v>
          </cell>
        </row>
        <row r="54">
          <cell r="L54">
            <v>0</v>
          </cell>
        </row>
        <row r="55">
          <cell r="L55">
            <v>0</v>
          </cell>
        </row>
        <row r="56">
          <cell r="L56">
            <v>0</v>
          </cell>
        </row>
        <row r="57">
          <cell r="L57">
            <v>0</v>
          </cell>
        </row>
        <row r="58">
          <cell r="L58">
            <v>0</v>
          </cell>
        </row>
        <row r="59">
          <cell r="L59">
            <v>0</v>
          </cell>
        </row>
        <row r="60">
          <cell r="L60">
            <v>0</v>
          </cell>
        </row>
        <row r="61">
          <cell r="L61">
            <v>0</v>
          </cell>
        </row>
        <row r="62">
          <cell r="L62">
            <v>0</v>
          </cell>
        </row>
        <row r="63">
          <cell r="L63">
            <v>0</v>
          </cell>
        </row>
        <row r="64">
          <cell r="L64">
            <v>0</v>
          </cell>
        </row>
        <row r="65">
          <cell r="L65">
            <v>0</v>
          </cell>
        </row>
        <row r="66">
          <cell r="L66">
            <v>0</v>
          </cell>
        </row>
        <row r="67">
          <cell r="L67">
            <v>0</v>
          </cell>
        </row>
        <row r="68">
          <cell r="L68">
            <v>0</v>
          </cell>
        </row>
        <row r="69">
          <cell r="L69">
            <v>0</v>
          </cell>
        </row>
        <row r="70">
          <cell r="L70">
            <v>0</v>
          </cell>
        </row>
        <row r="71">
          <cell r="L71">
            <v>0</v>
          </cell>
        </row>
        <row r="72">
          <cell r="L72">
            <v>0</v>
          </cell>
        </row>
        <row r="73">
          <cell r="L73">
            <v>0</v>
          </cell>
        </row>
        <row r="74">
          <cell r="L74">
            <v>0</v>
          </cell>
        </row>
        <row r="75">
          <cell r="L75">
            <v>0</v>
          </cell>
        </row>
        <row r="76">
          <cell r="L7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Info"/>
      <sheetName val="PremLoss"/>
      <sheetName val="Section II UW Info"/>
      <sheetName val="Limits"/>
      <sheetName val="Property"/>
      <sheetName val="SOV"/>
      <sheetName val="IM Schedule"/>
      <sheetName val="Auto Schedule"/>
      <sheetName val="ELL App"/>
      <sheetName val="LEL App"/>
      <sheetName val="."/>
    </sheetNames>
    <sheetDataSet>
      <sheetData sheetId="0"/>
      <sheetData sheetId="1"/>
      <sheetData sheetId="2"/>
      <sheetData sheetId="3"/>
      <sheetData sheetId="4"/>
      <sheetData sheetId="5"/>
      <sheetData sheetId="6"/>
      <sheetData sheetId="7"/>
      <sheetData sheetId="8"/>
      <sheetData sheetId="9"/>
      <sheetData sheetId="10">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view="pageLayout" zoomScaleNormal="80" zoomScaleSheetLayoutView="80" workbookViewId="0">
      <selection activeCell="D17" sqref="D17"/>
    </sheetView>
  </sheetViews>
  <sheetFormatPr defaultColWidth="7.08984375" defaultRowHeight="13.2" x14ac:dyDescent="0.25"/>
  <cols>
    <col min="1" max="1" width="8.81640625" style="950" bestFit="1" customWidth="1"/>
    <col min="2" max="2" width="9.08984375" style="950" customWidth="1"/>
    <col min="3" max="7" width="10.90625" style="950" customWidth="1"/>
    <col min="8" max="8" width="7.08984375" style="950" customWidth="1"/>
    <col min="9" max="10" width="11.1796875" style="950" customWidth="1"/>
    <col min="11" max="11" width="12.6328125" style="950" customWidth="1"/>
    <col min="12" max="16384" width="7.08984375" style="950"/>
  </cols>
  <sheetData>
    <row r="1" spans="1:7" ht="17.399999999999999" x14ac:dyDescent="0.3">
      <c r="A1" s="1075" t="s">
        <v>71</v>
      </c>
      <c r="B1" s="1075"/>
      <c r="C1" s="1075"/>
      <c r="D1" s="1075"/>
      <c r="E1" s="1075"/>
      <c r="F1" s="1075"/>
      <c r="G1" s="1075"/>
    </row>
    <row r="2" spans="1:7" ht="17.399999999999999" x14ac:dyDescent="0.3">
      <c r="A2" s="1071"/>
      <c r="B2" s="1071"/>
      <c r="C2" s="1071"/>
      <c r="D2" s="1071"/>
      <c r="E2" s="1071"/>
      <c r="F2" s="1071"/>
      <c r="G2" s="1071"/>
    </row>
    <row r="3" spans="1:7" ht="13.8" x14ac:dyDescent="0.25">
      <c r="A3" s="948"/>
      <c r="B3" s="948"/>
      <c r="C3" s="948"/>
      <c r="D3" s="948"/>
      <c r="E3" s="948"/>
      <c r="F3" s="949"/>
      <c r="G3" s="948"/>
    </row>
    <row r="4" spans="1:7" ht="13.8" x14ac:dyDescent="0.25">
      <c r="A4" s="1076" t="s">
        <v>183</v>
      </c>
      <c r="B4" s="1076"/>
      <c r="C4" s="1076"/>
      <c r="D4" s="1076"/>
      <c r="E4" s="1076"/>
      <c r="F4" s="1076"/>
      <c r="G4" s="1076"/>
    </row>
    <row r="5" spans="1:7" ht="15.9" customHeight="1" thickBot="1" x14ac:dyDescent="0.3">
      <c r="A5" s="951" t="s">
        <v>25</v>
      </c>
      <c r="B5" s="951" t="s">
        <v>26</v>
      </c>
      <c r="C5" s="951" t="s">
        <v>27</v>
      </c>
      <c r="D5" s="951" t="s">
        <v>28</v>
      </c>
      <c r="E5" s="951" t="s">
        <v>29</v>
      </c>
      <c r="F5" s="951" t="s">
        <v>30</v>
      </c>
      <c r="G5" s="951" t="s">
        <v>69</v>
      </c>
    </row>
    <row r="6" spans="1:7" ht="15.9" customHeight="1" thickTop="1" x14ac:dyDescent="0.25">
      <c r="A6" s="952" t="s">
        <v>518</v>
      </c>
      <c r="B6" s="953"/>
      <c r="C6" s="953"/>
      <c r="D6" s="953"/>
      <c r="E6" s="953">
        <f>+C6+D6</f>
        <v>0</v>
      </c>
      <c r="F6" s="953">
        <v>528541</v>
      </c>
      <c r="G6" s="954" t="s">
        <v>520</v>
      </c>
    </row>
    <row r="7" spans="1:7" ht="15.9" customHeight="1" x14ac:dyDescent="0.25">
      <c r="A7" s="955" t="s">
        <v>485</v>
      </c>
      <c r="B7" s="956"/>
      <c r="C7" s="956"/>
      <c r="D7" s="956"/>
      <c r="E7" s="956">
        <f>+C7+D7</f>
        <v>0</v>
      </c>
      <c r="F7" s="956">
        <v>314471</v>
      </c>
      <c r="G7" s="958" t="s">
        <v>520</v>
      </c>
    </row>
    <row r="8" spans="1:7" ht="15.9" customHeight="1" x14ac:dyDescent="0.25">
      <c r="A8" s="955" t="s">
        <v>301</v>
      </c>
      <c r="B8" s="958">
        <v>1</v>
      </c>
      <c r="C8" s="959">
        <v>3440370</v>
      </c>
      <c r="D8" s="959">
        <v>0</v>
      </c>
      <c r="E8" s="956">
        <f>+C8+D8</f>
        <v>3440370</v>
      </c>
      <c r="F8" s="956">
        <v>296654</v>
      </c>
      <c r="G8" s="958" t="s">
        <v>520</v>
      </c>
    </row>
    <row r="9" spans="1:7" ht="15.9" customHeight="1" x14ac:dyDescent="0.25">
      <c r="A9" s="955" t="s">
        <v>302</v>
      </c>
      <c r="B9" s="959"/>
      <c r="C9" s="959"/>
      <c r="D9" s="959"/>
      <c r="E9" s="957">
        <f>+C9+D9</f>
        <v>0</v>
      </c>
      <c r="F9" s="956">
        <f>265808+3584+32254</f>
        <v>301646</v>
      </c>
      <c r="G9" s="958" t="s">
        <v>520</v>
      </c>
    </row>
    <row r="10" spans="1:7" ht="15.9" customHeight="1" x14ac:dyDescent="0.25">
      <c r="A10" s="955" t="s">
        <v>303</v>
      </c>
      <c r="B10" s="956"/>
      <c r="C10" s="956"/>
      <c r="D10" s="956"/>
      <c r="E10" s="956">
        <f>+C10+D10</f>
        <v>0</v>
      </c>
      <c r="F10" s="956">
        <f>265808+2584+32254</f>
        <v>300646</v>
      </c>
      <c r="G10" s="958" t="s">
        <v>520</v>
      </c>
    </row>
    <row r="11" spans="1:7" ht="15.75" customHeight="1" x14ac:dyDescent="0.25">
      <c r="A11" s="968"/>
      <c r="B11" s="1073"/>
      <c r="C11" s="1073">
        <f>SUM(C6:C10)</f>
        <v>3440370</v>
      </c>
      <c r="D11" s="1073">
        <f>SUM(D6:D10)</f>
        <v>0</v>
      </c>
      <c r="E11" s="1073">
        <f>SUM(E6:E10)</f>
        <v>3440370</v>
      </c>
      <c r="F11" s="1073">
        <f>SUM(F6:F10)</f>
        <v>1741958</v>
      </c>
      <c r="G11" s="1074">
        <f>+E11/F11</f>
        <v>1.9750016934966286</v>
      </c>
    </row>
    <row r="12" spans="1:7" ht="15.75" customHeight="1" x14ac:dyDescent="0.25">
      <c r="A12" s="961"/>
      <c r="B12" s="962"/>
      <c r="C12" s="962"/>
      <c r="D12" s="962"/>
      <c r="E12" s="962"/>
      <c r="F12" s="962"/>
      <c r="G12" s="963"/>
    </row>
    <row r="13" spans="1:7" ht="13.8" x14ac:dyDescent="0.25">
      <c r="A13" s="1076" t="s">
        <v>423</v>
      </c>
      <c r="B13" s="1076"/>
      <c r="C13" s="1076"/>
      <c r="D13" s="1076"/>
      <c r="E13" s="1076"/>
      <c r="F13" s="1076"/>
      <c r="G13" s="1076"/>
    </row>
    <row r="14" spans="1:7" ht="15.9" customHeight="1" thickBot="1" x14ac:dyDescent="0.3">
      <c r="A14" s="951" t="s">
        <v>25</v>
      </c>
      <c r="B14" s="951" t="s">
        <v>26</v>
      </c>
      <c r="C14" s="951" t="s">
        <v>27</v>
      </c>
      <c r="D14" s="951" t="s">
        <v>28</v>
      </c>
      <c r="E14" s="951" t="s">
        <v>29</v>
      </c>
      <c r="F14" s="951" t="s">
        <v>30</v>
      </c>
      <c r="G14" s="951" t="s">
        <v>69</v>
      </c>
    </row>
    <row r="15" spans="1:7" ht="15.9" customHeight="1" thickTop="1" x14ac:dyDescent="0.25">
      <c r="A15" s="952" t="s">
        <v>518</v>
      </c>
      <c r="B15" s="953">
        <v>0</v>
      </c>
      <c r="C15" s="953"/>
      <c r="D15" s="953"/>
      <c r="E15" s="953">
        <f>+C15+D15</f>
        <v>0</v>
      </c>
      <c r="F15" s="953" t="s">
        <v>519</v>
      </c>
      <c r="G15" s="954" t="s">
        <v>520</v>
      </c>
    </row>
    <row r="16" spans="1:7" ht="15.9" customHeight="1" x14ac:dyDescent="0.25">
      <c r="A16" s="955" t="s">
        <v>485</v>
      </c>
      <c r="B16" s="956">
        <v>0</v>
      </c>
      <c r="C16" s="956"/>
      <c r="D16" s="956"/>
      <c r="E16" s="956">
        <f>+C16+D16</f>
        <v>0</v>
      </c>
      <c r="F16" s="957" t="s">
        <v>519</v>
      </c>
      <c r="G16" s="958" t="s">
        <v>520</v>
      </c>
    </row>
    <row r="17" spans="1:10" ht="15.9" customHeight="1" x14ac:dyDescent="0.25">
      <c r="A17" s="955" t="s">
        <v>301</v>
      </c>
      <c r="B17" s="959">
        <v>0</v>
      </c>
      <c r="C17" s="959"/>
      <c r="D17" s="959"/>
      <c r="E17" s="956">
        <f>+C17+D17</f>
        <v>0</v>
      </c>
      <c r="F17" s="956" t="s">
        <v>519</v>
      </c>
      <c r="G17" s="958" t="s">
        <v>520</v>
      </c>
    </row>
    <row r="18" spans="1:10" ht="15.9" customHeight="1" x14ac:dyDescent="0.25">
      <c r="A18" s="955" t="s">
        <v>302</v>
      </c>
      <c r="B18" s="959">
        <v>0</v>
      </c>
      <c r="C18" s="959"/>
      <c r="D18" s="959"/>
      <c r="E18" s="957">
        <f>+C18+D18</f>
        <v>0</v>
      </c>
      <c r="F18" s="956">
        <v>3397</v>
      </c>
      <c r="G18" s="958" t="s">
        <v>520</v>
      </c>
    </row>
    <row r="19" spans="1:10" ht="15.9" customHeight="1" x14ac:dyDescent="0.25">
      <c r="A19" s="955" t="s">
        <v>303</v>
      </c>
      <c r="B19" s="957">
        <v>0</v>
      </c>
      <c r="C19" s="957"/>
      <c r="D19" s="957"/>
      <c r="E19" s="957">
        <f>+C19+D19</f>
        <v>0</v>
      </c>
      <c r="F19" s="957">
        <v>3397</v>
      </c>
      <c r="G19" s="960" t="s">
        <v>520</v>
      </c>
    </row>
    <row r="20" spans="1:10" ht="15.9" customHeight="1" x14ac:dyDescent="0.25">
      <c r="A20" s="955"/>
      <c r="B20" s="956"/>
      <c r="C20" s="959">
        <f>SUM(C15:C19)</f>
        <v>0</v>
      </c>
      <c r="D20" s="959">
        <f>SUM(D15:D19)</f>
        <v>0</v>
      </c>
      <c r="E20" s="959">
        <f>SUM(E15:E19)</f>
        <v>0</v>
      </c>
      <c r="F20" s="959">
        <f>SUM(F15:F19)</f>
        <v>6794</v>
      </c>
      <c r="G20" s="1072">
        <f>+E20/F20</f>
        <v>0</v>
      </c>
    </row>
    <row r="21" spans="1:10" ht="15" customHeight="1" x14ac:dyDescent="0.25">
      <c r="A21" s="961"/>
      <c r="B21" s="964"/>
      <c r="C21" s="964"/>
      <c r="D21" s="963"/>
      <c r="E21" s="962"/>
      <c r="F21" s="962"/>
      <c r="G21" s="963"/>
    </row>
    <row r="22" spans="1:10" ht="15.9" customHeight="1" x14ac:dyDescent="0.25">
      <c r="A22" s="955" t="s">
        <v>77</v>
      </c>
      <c r="B22" s="956"/>
      <c r="C22" s="959">
        <f>SUM(C6:C20)/2</f>
        <v>3440370</v>
      </c>
      <c r="D22" s="959">
        <f>SUM(D6:D20)/2</f>
        <v>0</v>
      </c>
      <c r="E22" s="959">
        <f>SUM(E6:E20)/2</f>
        <v>3440370</v>
      </c>
      <c r="F22" s="959">
        <f>SUM(F6:F20)/2</f>
        <v>1748752</v>
      </c>
      <c r="G22" s="1072">
        <f>+E22/F22</f>
        <v>1.9673287006962679</v>
      </c>
    </row>
    <row r="23" spans="1:10" ht="15.9" customHeight="1" x14ac:dyDescent="0.25">
      <c r="A23" s="965"/>
      <c r="B23" s="964"/>
      <c r="C23" s="964"/>
      <c r="D23" s="964"/>
      <c r="E23" s="964"/>
      <c r="F23" s="964"/>
      <c r="G23" s="966"/>
    </row>
    <row r="24" spans="1:10" ht="15.9" customHeight="1" x14ac:dyDescent="0.25">
      <c r="A24" s="965"/>
      <c r="B24" s="964"/>
      <c r="C24" s="964"/>
      <c r="D24" s="964"/>
      <c r="E24" s="964"/>
      <c r="F24" s="964"/>
      <c r="G24" s="966"/>
    </row>
    <row r="25" spans="1:10" ht="13.8" x14ac:dyDescent="0.25">
      <c r="A25" s="1076" t="s">
        <v>33</v>
      </c>
      <c r="B25" s="1076"/>
      <c r="C25" s="1076"/>
      <c r="D25" s="1076"/>
      <c r="E25" s="1076"/>
      <c r="F25" s="1076"/>
      <c r="G25" s="1076"/>
    </row>
    <row r="26" spans="1:10" ht="15.9" customHeight="1" thickBot="1" x14ac:dyDescent="0.3">
      <c r="A26" s="951" t="s">
        <v>25</v>
      </c>
      <c r="B26" s="951" t="s">
        <v>34</v>
      </c>
      <c r="C26" s="951" t="s">
        <v>35</v>
      </c>
      <c r="D26" s="1077" t="s">
        <v>70</v>
      </c>
      <c r="E26" s="1078"/>
      <c r="F26" s="951" t="s">
        <v>36</v>
      </c>
      <c r="G26" s="951" t="s">
        <v>182</v>
      </c>
      <c r="J26" s="967"/>
    </row>
    <row r="27" spans="1:10" ht="15.9" customHeight="1" thickTop="1" x14ac:dyDescent="0.25">
      <c r="A27" s="968"/>
      <c r="B27" s="969"/>
      <c r="C27" s="960"/>
      <c r="D27" s="1079"/>
      <c r="E27" s="1080"/>
      <c r="F27" s="960"/>
      <c r="G27" s="960"/>
    </row>
    <row r="28" spans="1:10" ht="15.9" customHeight="1" x14ac:dyDescent="0.25">
      <c r="A28" s="968">
        <v>2014</v>
      </c>
      <c r="B28" s="969">
        <v>41732</v>
      </c>
      <c r="C28" s="960" t="s">
        <v>526</v>
      </c>
      <c r="D28" s="1079" t="s">
        <v>527</v>
      </c>
      <c r="E28" s="1080"/>
      <c r="F28" s="960">
        <v>3690370</v>
      </c>
      <c r="G28" s="960" t="s">
        <v>528</v>
      </c>
    </row>
    <row r="29" spans="1:10" ht="15.9" customHeight="1" x14ac:dyDescent="0.25">
      <c r="A29" s="968"/>
      <c r="B29" s="969"/>
      <c r="C29" s="960"/>
      <c r="D29" s="1079"/>
      <c r="E29" s="1080"/>
      <c r="F29" s="960"/>
      <c r="G29" s="960"/>
    </row>
    <row r="30" spans="1:10" ht="15.9" customHeight="1" x14ac:dyDescent="0.25">
      <c r="A30" s="968"/>
      <c r="B30" s="970"/>
      <c r="C30" s="958"/>
      <c r="D30" s="1079"/>
      <c r="E30" s="1080"/>
      <c r="F30" s="958"/>
      <c r="G30" s="958"/>
    </row>
    <row r="31" spans="1:10" ht="15.9" customHeight="1" x14ac:dyDescent="0.25">
      <c r="A31" s="968"/>
      <c r="B31" s="970"/>
      <c r="C31" s="958"/>
      <c r="D31" s="1079"/>
      <c r="E31" s="1080"/>
      <c r="F31" s="958"/>
      <c r="G31" s="958"/>
    </row>
    <row r="32" spans="1:10" ht="15.9" customHeight="1" x14ac:dyDescent="0.25">
      <c r="A32" s="968"/>
      <c r="B32" s="970"/>
      <c r="C32" s="958"/>
      <c r="D32" s="1079"/>
      <c r="E32" s="1080"/>
      <c r="F32" s="958"/>
      <c r="G32" s="958"/>
    </row>
    <row r="33" spans="1:7" ht="15.9" customHeight="1" x14ac:dyDescent="0.25">
      <c r="A33" s="968"/>
      <c r="B33" s="970"/>
      <c r="C33" s="958"/>
      <c r="D33" s="1079"/>
      <c r="E33" s="1080"/>
      <c r="F33" s="958"/>
      <c r="G33" s="958"/>
    </row>
    <row r="34" spans="1:7" ht="15.9" customHeight="1" x14ac:dyDescent="0.25">
      <c r="A34" s="968"/>
      <c r="B34" s="969"/>
      <c r="C34" s="960"/>
      <c r="D34" s="1079"/>
      <c r="E34" s="1080"/>
      <c r="F34" s="960"/>
      <c r="G34" s="957"/>
    </row>
    <row r="38" spans="1:7" x14ac:dyDescent="0.25">
      <c r="E38" s="967"/>
      <c r="F38" s="967"/>
      <c r="G38" s="967"/>
    </row>
  </sheetData>
  <mergeCells count="13">
    <mergeCell ref="D32:E32"/>
    <mergeCell ref="D33:E33"/>
    <mergeCell ref="D34:E34"/>
    <mergeCell ref="D27:E27"/>
    <mergeCell ref="D28:E28"/>
    <mergeCell ref="D29:E29"/>
    <mergeCell ref="D30:E30"/>
    <mergeCell ref="D31:E31"/>
    <mergeCell ref="A1:G1"/>
    <mergeCell ref="A4:G4"/>
    <mergeCell ref="A25:G25"/>
    <mergeCell ref="A13:G13"/>
    <mergeCell ref="D26:E26"/>
  </mergeCells>
  <printOptions horizontalCentered="1"/>
  <pageMargins left="1" right="0.75" top="1" bottom="0.75" header="0" footer="0.5"/>
  <pageSetup scale="86" orientation="portrait" horizontalDpi="300" verticalDpi="300" r:id="rId1"/>
  <headerFooter alignWithMargins="0">
    <oddFooter>&amp;LDenton ISD Property and Crime Ins&amp;CRFP 170509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6"/>
  <sheetViews>
    <sheetView zoomScale="90" zoomScaleNormal="90" zoomScaleSheetLayoutView="79" workbookViewId="0">
      <pane xSplit="2" ySplit="3" topLeftCell="C4" activePane="bottomRight" state="frozen"/>
      <selection pane="topRight" activeCell="C1" sqref="C1"/>
      <selection pane="bottomLeft" activeCell="A4" sqref="A4"/>
      <selection pane="bottomRight" activeCell="C13" sqref="C13"/>
    </sheetView>
  </sheetViews>
  <sheetFormatPr defaultColWidth="8.90625" defaultRowHeight="15.6" x14ac:dyDescent="0.3"/>
  <cols>
    <col min="1" max="1" width="1.1796875" style="5" customWidth="1"/>
    <col min="2" max="2" width="28.453125" style="106" customWidth="1"/>
    <col min="3" max="5" width="15.08984375" style="106" customWidth="1"/>
    <col min="6" max="7" width="15.08984375" style="109" customWidth="1"/>
    <col min="8" max="8" width="15.54296875" style="109" customWidth="1"/>
    <col min="9" max="16384" width="8.90625" style="7"/>
  </cols>
  <sheetData>
    <row r="1" spans="1:14" ht="19.5" customHeight="1" x14ac:dyDescent="0.3">
      <c r="A1" s="1085" t="s">
        <v>203</v>
      </c>
      <c r="B1" s="1085"/>
      <c r="C1" s="1085"/>
      <c r="D1" s="1085"/>
      <c r="E1" s="1085"/>
      <c r="F1" s="1085"/>
      <c r="G1" s="1085"/>
      <c r="H1" s="1085"/>
    </row>
    <row r="2" spans="1:14" x14ac:dyDescent="0.3">
      <c r="B2" s="6"/>
      <c r="C2" s="132" t="s">
        <v>38</v>
      </c>
      <c r="D2" s="8"/>
      <c r="E2" s="8"/>
      <c r="F2" s="9"/>
      <c r="G2" s="9"/>
      <c r="H2" s="9"/>
    </row>
    <row r="3" spans="1:14" s="14" customFormat="1" ht="28.2" customHeight="1" thickBot="1" x14ac:dyDescent="0.3">
      <c r="A3" s="66" t="s">
        <v>275</v>
      </c>
      <c r="B3" s="10"/>
      <c r="C3" s="11" t="s">
        <v>524</v>
      </c>
      <c r="D3" s="12" t="s">
        <v>1472</v>
      </c>
      <c r="E3" s="13"/>
      <c r="F3" s="13"/>
      <c r="G3" s="13"/>
      <c r="H3" s="13"/>
    </row>
    <row r="4" spans="1:14" s="911" customFormat="1" ht="10.5" customHeight="1" thickTop="1" thickBot="1" x14ac:dyDescent="0.3">
      <c r="A4" s="908"/>
      <c r="B4" s="909"/>
      <c r="C4" s="910"/>
      <c r="D4" s="910"/>
      <c r="E4" s="910"/>
      <c r="F4" s="910"/>
      <c r="G4" s="910"/>
      <c r="H4" s="910"/>
    </row>
    <row r="5" spans="1:14" ht="16.5" customHeight="1" thickTop="1" x14ac:dyDescent="0.25">
      <c r="A5" s="23" t="s">
        <v>204</v>
      </c>
      <c r="B5" s="24"/>
      <c r="C5" s="15" t="s">
        <v>524</v>
      </c>
      <c r="D5" s="16"/>
      <c r="E5" s="25"/>
      <c r="F5" s="25"/>
      <c r="G5" s="17"/>
      <c r="H5" s="17"/>
    </row>
    <row r="6" spans="1:14" ht="16.5" customHeight="1" x14ac:dyDescent="0.25">
      <c r="A6" s="18"/>
      <c r="B6" s="19" t="s">
        <v>173</v>
      </c>
      <c r="C6" s="20">
        <v>100000</v>
      </c>
      <c r="D6" s="21"/>
      <c r="E6" s="26"/>
      <c r="F6" s="26"/>
      <c r="G6" s="22"/>
      <c r="H6" s="22"/>
    </row>
    <row r="7" spans="1:14" ht="16.5" customHeight="1" x14ac:dyDescent="0.25">
      <c r="A7" s="18"/>
      <c r="B7" s="19" t="s">
        <v>174</v>
      </c>
      <c r="C7" s="20" t="s">
        <v>525</v>
      </c>
      <c r="D7" s="21"/>
      <c r="E7" s="26"/>
      <c r="F7" s="26"/>
      <c r="G7" s="22"/>
      <c r="H7" s="22"/>
    </row>
    <row r="8" spans="1:14" ht="16.5" customHeight="1" x14ac:dyDescent="0.25">
      <c r="A8" s="852"/>
      <c r="B8" s="853" t="s">
        <v>172</v>
      </c>
      <c r="C8" s="854">
        <v>50000</v>
      </c>
      <c r="D8" s="855"/>
      <c r="E8" s="857"/>
      <c r="F8" s="857"/>
      <c r="G8" s="856"/>
      <c r="H8" s="856"/>
    </row>
    <row r="9" spans="1:14" ht="16.5" customHeight="1" thickBot="1" x14ac:dyDescent="0.3">
      <c r="A9" s="848"/>
      <c r="B9" s="858" t="s">
        <v>30</v>
      </c>
      <c r="C9" s="849" t="s">
        <v>525</v>
      </c>
      <c r="D9" s="850"/>
      <c r="E9" s="851"/>
      <c r="F9" s="851"/>
      <c r="G9" s="851"/>
      <c r="H9" s="851"/>
    </row>
    <row r="10" spans="1:14" ht="9.75" customHeight="1" thickTop="1" thickBot="1" x14ac:dyDescent="0.35">
      <c r="A10" s="6"/>
      <c r="B10" s="6"/>
      <c r="C10" s="29"/>
      <c r="D10" s="29"/>
      <c r="E10" s="29"/>
      <c r="F10" s="29"/>
      <c r="G10" s="29"/>
      <c r="H10" s="29"/>
    </row>
    <row r="11" spans="1:14" ht="15.75" customHeight="1" thickTop="1" x14ac:dyDescent="0.25">
      <c r="A11" s="124" t="s">
        <v>205</v>
      </c>
      <c r="B11" s="125"/>
      <c r="C11" s="126" t="s">
        <v>524</v>
      </c>
      <c r="D11" s="127"/>
      <c r="E11" s="127"/>
      <c r="F11" s="127"/>
      <c r="G11" s="127"/>
      <c r="H11" s="127"/>
      <c r="I11" s="52"/>
      <c r="J11" s="52"/>
      <c r="K11" s="52"/>
      <c r="L11" s="52"/>
      <c r="M11" s="52"/>
      <c r="N11" s="52"/>
    </row>
    <row r="12" spans="1:14" s="139" customFormat="1" ht="15.75" customHeight="1" x14ac:dyDescent="0.25">
      <c r="A12" s="134" t="s">
        <v>125</v>
      </c>
      <c r="B12" s="135"/>
      <c r="C12" s="136">
        <v>1007094699</v>
      </c>
      <c r="D12" s="137">
        <v>1058453088</v>
      </c>
      <c r="E12" s="137"/>
      <c r="F12" s="137"/>
      <c r="G12" s="137"/>
      <c r="H12" s="137"/>
      <c r="I12" s="138"/>
      <c r="J12" s="138"/>
      <c r="K12" s="138"/>
      <c r="L12" s="138"/>
      <c r="M12" s="138"/>
      <c r="N12" s="138"/>
    </row>
    <row r="13" spans="1:14" ht="15.75" customHeight="1" x14ac:dyDescent="0.25">
      <c r="A13" s="97" t="s">
        <v>189</v>
      </c>
      <c r="B13" s="91"/>
      <c r="C13" s="92">
        <f>+C12</f>
        <v>1007094699</v>
      </c>
      <c r="D13" s="93"/>
      <c r="E13" s="93"/>
      <c r="F13" s="93"/>
      <c r="G13" s="93"/>
      <c r="H13" s="93"/>
      <c r="I13" s="52"/>
      <c r="J13" s="52"/>
      <c r="K13" s="52"/>
      <c r="L13" s="52"/>
      <c r="M13" s="52"/>
      <c r="N13" s="52"/>
    </row>
    <row r="14" spans="1:14" ht="15.75" customHeight="1" x14ac:dyDescent="0.3">
      <c r="A14" s="97"/>
      <c r="B14" s="89" t="s">
        <v>239</v>
      </c>
      <c r="C14" s="92">
        <f t="shared" ref="C14:C16" si="0">+C13</f>
        <v>1007094699</v>
      </c>
      <c r="D14" s="93"/>
      <c r="E14" s="93"/>
      <c r="F14" s="93"/>
      <c r="G14" s="93"/>
      <c r="H14" s="93"/>
      <c r="I14" s="52"/>
      <c r="J14" s="52"/>
      <c r="K14" s="52"/>
      <c r="L14" s="52"/>
      <c r="M14" s="52"/>
      <c r="N14" s="52"/>
    </row>
    <row r="15" spans="1:14" s="935" customFormat="1" ht="15.75" customHeight="1" x14ac:dyDescent="0.3">
      <c r="A15" s="1038"/>
      <c r="B15" s="90" t="s">
        <v>354</v>
      </c>
      <c r="C15" s="92">
        <f t="shared" si="0"/>
        <v>1007094699</v>
      </c>
      <c r="D15" s="933"/>
      <c r="E15" s="933"/>
      <c r="F15" s="933"/>
      <c r="G15" s="933"/>
      <c r="H15" s="933"/>
      <c r="I15" s="934"/>
      <c r="J15" s="934"/>
      <c r="K15" s="934"/>
      <c r="L15" s="934"/>
      <c r="M15" s="934"/>
      <c r="N15" s="934"/>
    </row>
    <row r="16" spans="1:14" s="935" customFormat="1" ht="15.75" customHeight="1" x14ac:dyDescent="0.3">
      <c r="A16" s="1038"/>
      <c r="B16" s="90" t="s">
        <v>243</v>
      </c>
      <c r="C16" s="92">
        <f t="shared" si="0"/>
        <v>1007094699</v>
      </c>
      <c r="D16" s="933"/>
      <c r="E16" s="933"/>
      <c r="F16" s="933"/>
      <c r="G16" s="933"/>
      <c r="H16" s="933"/>
      <c r="I16" s="934"/>
      <c r="J16" s="934"/>
      <c r="K16" s="934"/>
      <c r="L16" s="934"/>
      <c r="M16" s="934"/>
      <c r="N16" s="934"/>
    </row>
    <row r="17" spans="1:14" s="923" customFormat="1" ht="15.75" customHeight="1" x14ac:dyDescent="0.3">
      <c r="A17" s="919"/>
      <c r="B17" s="119" t="s">
        <v>276</v>
      </c>
      <c r="C17" s="920">
        <v>2000000</v>
      </c>
      <c r="D17" s="921"/>
      <c r="E17" s="921"/>
      <c r="F17" s="921"/>
      <c r="G17" s="921"/>
      <c r="H17" s="921"/>
      <c r="I17" s="922"/>
      <c r="J17" s="922"/>
      <c r="K17" s="922"/>
      <c r="L17" s="922"/>
      <c r="M17" s="922"/>
      <c r="N17" s="922"/>
    </row>
    <row r="18" spans="1:14" s="923" customFormat="1" ht="15.75" customHeight="1" x14ac:dyDescent="0.3">
      <c r="A18" s="919"/>
      <c r="B18" s="119" t="s">
        <v>277</v>
      </c>
      <c r="C18" s="920" t="s">
        <v>522</v>
      </c>
      <c r="D18" s="921"/>
      <c r="E18" s="921"/>
      <c r="F18" s="921"/>
      <c r="G18" s="921"/>
      <c r="H18" s="921"/>
      <c r="I18" s="922"/>
      <c r="J18" s="922"/>
      <c r="K18" s="922"/>
      <c r="L18" s="922"/>
      <c r="M18" s="922"/>
      <c r="N18" s="922"/>
    </row>
    <row r="19" spans="1:14" ht="15.75" customHeight="1" x14ac:dyDescent="0.25">
      <c r="A19" s="97"/>
      <c r="B19" s="91" t="s">
        <v>278</v>
      </c>
      <c r="C19" s="92">
        <v>500000</v>
      </c>
      <c r="D19" s="93"/>
      <c r="E19" s="93"/>
      <c r="F19" s="93"/>
      <c r="G19" s="93"/>
      <c r="H19" s="93"/>
      <c r="I19" s="52"/>
      <c r="J19" s="52"/>
      <c r="K19" s="52"/>
      <c r="L19" s="52"/>
      <c r="M19" s="52"/>
      <c r="N19" s="52"/>
    </row>
    <row r="20" spans="1:14" s="923" customFormat="1" ht="15.75" customHeight="1" x14ac:dyDescent="0.25">
      <c r="A20" s="924"/>
      <c r="B20" s="122" t="s">
        <v>175</v>
      </c>
      <c r="C20" s="925" t="s">
        <v>523</v>
      </c>
      <c r="D20" s="926"/>
      <c r="E20" s="926"/>
      <c r="F20" s="926"/>
      <c r="G20" s="926"/>
      <c r="H20" s="926"/>
      <c r="I20" s="922"/>
      <c r="J20" s="922"/>
      <c r="K20" s="922"/>
      <c r="L20" s="922"/>
      <c r="M20" s="922"/>
      <c r="N20" s="922"/>
    </row>
    <row r="21" spans="1:14" s="57" customFormat="1" ht="15.75" customHeight="1" x14ac:dyDescent="0.3">
      <c r="A21" s="53" t="s">
        <v>181</v>
      </c>
      <c r="B21" s="54"/>
      <c r="C21" s="88"/>
      <c r="D21" s="58"/>
      <c r="E21" s="56"/>
      <c r="F21" s="55"/>
      <c r="G21" s="55"/>
      <c r="H21" s="55"/>
      <c r="I21" s="59"/>
      <c r="J21" s="59"/>
      <c r="K21" s="59"/>
      <c r="L21" s="59"/>
      <c r="M21" s="59"/>
      <c r="N21" s="59"/>
    </row>
    <row r="22" spans="1:14" ht="15.75" customHeight="1" x14ac:dyDescent="0.3">
      <c r="A22" s="123" t="s">
        <v>292</v>
      </c>
      <c r="B22" s="94"/>
      <c r="C22" s="95"/>
      <c r="D22" s="96"/>
      <c r="E22" s="96"/>
      <c r="F22" s="96"/>
      <c r="G22" s="96"/>
      <c r="H22" s="96"/>
      <c r="I22" s="52"/>
      <c r="J22" s="52"/>
      <c r="K22" s="52"/>
      <c r="L22" s="52"/>
      <c r="M22" s="52"/>
      <c r="N22" s="52"/>
    </row>
    <row r="23" spans="1:14" ht="15.75" customHeight="1" x14ac:dyDescent="0.3">
      <c r="A23" s="128"/>
      <c r="B23" s="131" t="s">
        <v>274</v>
      </c>
      <c r="C23" s="129">
        <v>50000</v>
      </c>
      <c r="D23" s="130"/>
      <c r="E23" s="130"/>
      <c r="F23" s="130"/>
      <c r="G23" s="130"/>
      <c r="H23" s="130"/>
      <c r="I23" s="52"/>
      <c r="J23" s="52"/>
      <c r="K23" s="52"/>
      <c r="L23" s="52"/>
      <c r="M23" s="52"/>
      <c r="N23" s="52"/>
    </row>
    <row r="24" spans="1:14" s="935" customFormat="1" ht="15.75" customHeight="1" x14ac:dyDescent="0.25">
      <c r="A24" s="931"/>
      <c r="B24" s="116" t="s">
        <v>366</v>
      </c>
      <c r="C24" s="932">
        <v>250000</v>
      </c>
      <c r="D24" s="933"/>
      <c r="E24" s="933"/>
      <c r="F24" s="933"/>
      <c r="G24" s="933"/>
      <c r="H24" s="933"/>
      <c r="I24" s="934"/>
      <c r="J24" s="934"/>
      <c r="K24" s="934"/>
      <c r="L24" s="934"/>
      <c r="M24" s="934"/>
      <c r="N24" s="934"/>
    </row>
    <row r="25" spans="1:14" s="935" customFormat="1" ht="15.75" customHeight="1" x14ac:dyDescent="0.25">
      <c r="A25" s="931"/>
      <c r="B25" s="116" t="s">
        <v>180</v>
      </c>
      <c r="C25" s="932">
        <v>250000</v>
      </c>
      <c r="D25" s="933"/>
      <c r="E25" s="933"/>
      <c r="F25" s="933"/>
      <c r="G25" s="933"/>
      <c r="H25" s="933"/>
      <c r="I25" s="934"/>
      <c r="J25" s="934"/>
      <c r="K25" s="934"/>
      <c r="L25" s="934"/>
      <c r="M25" s="934"/>
      <c r="N25" s="934"/>
    </row>
    <row r="26" spans="1:14" s="923" customFormat="1" ht="15.75" customHeight="1" x14ac:dyDescent="0.25">
      <c r="A26" s="927"/>
      <c r="B26" s="117" t="s">
        <v>279</v>
      </c>
      <c r="C26" s="920" t="s">
        <v>521</v>
      </c>
      <c r="D26" s="921"/>
      <c r="E26" s="921"/>
      <c r="F26" s="921"/>
      <c r="G26" s="921"/>
      <c r="H26" s="921"/>
      <c r="I26" s="922"/>
      <c r="J26" s="922"/>
      <c r="K26" s="922"/>
      <c r="L26" s="922"/>
      <c r="M26" s="922"/>
      <c r="N26" s="922"/>
    </row>
    <row r="27" spans="1:14" s="923" customFormat="1" ht="15.75" customHeight="1" x14ac:dyDescent="0.25">
      <c r="A27" s="927"/>
      <c r="B27" s="117" t="s">
        <v>280</v>
      </c>
      <c r="C27" s="920" t="s">
        <v>522</v>
      </c>
      <c r="D27" s="921"/>
      <c r="E27" s="921"/>
      <c r="F27" s="921"/>
      <c r="G27" s="921"/>
      <c r="H27" s="921"/>
      <c r="I27" s="922"/>
      <c r="J27" s="922"/>
      <c r="K27" s="922"/>
      <c r="L27" s="922"/>
      <c r="M27" s="922"/>
      <c r="N27" s="922"/>
    </row>
    <row r="28" spans="1:14" s="923" customFormat="1" ht="15.75" customHeight="1" x14ac:dyDescent="0.25">
      <c r="A28" s="928"/>
      <c r="B28" s="118" t="s">
        <v>176</v>
      </c>
      <c r="C28" s="929" t="s">
        <v>1468</v>
      </c>
      <c r="D28" s="930"/>
      <c r="E28" s="930"/>
      <c r="F28" s="930"/>
      <c r="G28" s="930"/>
      <c r="H28" s="930"/>
      <c r="I28" s="922"/>
      <c r="J28" s="922"/>
      <c r="K28" s="922"/>
      <c r="L28" s="922"/>
      <c r="M28" s="922"/>
      <c r="N28" s="922"/>
    </row>
    <row r="29" spans="1:14" ht="15.75" customHeight="1" thickBot="1" x14ac:dyDescent="0.3">
      <c r="A29" s="98" t="s">
        <v>30</v>
      </c>
      <c r="B29" s="35"/>
      <c r="C29" s="36">
        <v>528541</v>
      </c>
      <c r="D29" s="37"/>
      <c r="E29" s="37"/>
      <c r="F29" s="37"/>
      <c r="G29" s="37"/>
      <c r="H29" s="37"/>
      <c r="I29" s="52"/>
      <c r="J29" s="52"/>
      <c r="K29" s="52"/>
      <c r="L29" s="52"/>
      <c r="M29" s="52"/>
      <c r="N29" s="52"/>
    </row>
    <row r="30" spans="1:14" ht="15.75" customHeight="1" thickTop="1" thickBot="1" x14ac:dyDescent="0.3">
      <c r="A30" s="99" t="s">
        <v>235</v>
      </c>
      <c r="B30" s="82"/>
      <c r="C30" s="1039">
        <f>+C12</f>
        <v>1007094699</v>
      </c>
      <c r="D30" s="140"/>
      <c r="E30" s="140"/>
      <c r="F30" s="140"/>
      <c r="G30" s="140"/>
      <c r="H30" s="140"/>
      <c r="I30" s="52"/>
      <c r="J30" s="52"/>
      <c r="K30" s="52"/>
      <c r="L30" s="52"/>
      <c r="M30" s="52"/>
      <c r="N30" s="52"/>
    </row>
    <row r="31" spans="1:14" ht="15.75" customHeight="1" thickTop="1" x14ac:dyDescent="0.25">
      <c r="A31" s="100" t="s">
        <v>206</v>
      </c>
      <c r="B31" s="81"/>
      <c r="C31" s="31" t="s">
        <v>524</v>
      </c>
      <c r="D31" s="32"/>
      <c r="E31" s="32"/>
      <c r="F31" s="32"/>
      <c r="G31" s="32"/>
      <c r="H31" s="32"/>
      <c r="I31" s="52"/>
      <c r="J31" s="52"/>
      <c r="K31" s="52"/>
      <c r="L31" s="52"/>
      <c r="M31" s="52"/>
      <c r="N31" s="52"/>
    </row>
    <row r="32" spans="1:14" ht="15.75" customHeight="1" x14ac:dyDescent="0.25">
      <c r="A32" s="101"/>
      <c r="B32" s="38" t="s">
        <v>54</v>
      </c>
      <c r="C32" s="33">
        <v>100000000</v>
      </c>
      <c r="D32" s="39"/>
      <c r="E32" s="39"/>
      <c r="F32" s="39"/>
      <c r="G32" s="39"/>
      <c r="H32" s="39"/>
      <c r="I32" s="52"/>
      <c r="J32" s="52"/>
      <c r="K32" s="52"/>
      <c r="L32" s="52"/>
      <c r="M32" s="52"/>
      <c r="N32" s="52"/>
    </row>
    <row r="33" spans="1:14" ht="15.75" customHeight="1" x14ac:dyDescent="0.25">
      <c r="A33" s="102"/>
      <c r="B33" s="40" t="s">
        <v>22</v>
      </c>
      <c r="C33" s="34">
        <v>50000</v>
      </c>
      <c r="D33" s="41"/>
      <c r="E33" s="41"/>
      <c r="F33" s="41"/>
      <c r="G33" s="41"/>
      <c r="H33" s="41"/>
      <c r="I33" s="52"/>
      <c r="J33" s="52"/>
      <c r="K33" s="52"/>
      <c r="L33" s="52"/>
      <c r="M33" s="52"/>
      <c r="N33" s="52"/>
    </row>
    <row r="34" spans="1:14" ht="15.75" customHeight="1" x14ac:dyDescent="0.25">
      <c r="A34" s="103" t="s">
        <v>30</v>
      </c>
      <c r="B34" s="42"/>
      <c r="C34" s="43" t="s">
        <v>525</v>
      </c>
      <c r="D34" s="44"/>
      <c r="E34" s="44"/>
      <c r="F34" s="44"/>
      <c r="G34" s="44"/>
      <c r="H34" s="44"/>
      <c r="I34" s="52"/>
      <c r="J34" s="52"/>
      <c r="K34" s="52"/>
      <c r="L34" s="52"/>
      <c r="M34" s="52"/>
      <c r="N34" s="52"/>
    </row>
    <row r="35" spans="1:14" ht="15.75" customHeight="1" x14ac:dyDescent="0.25">
      <c r="A35" s="104" t="s">
        <v>177</v>
      </c>
      <c r="B35" s="45"/>
      <c r="C35" s="46">
        <f>+C29</f>
        <v>528541</v>
      </c>
      <c r="D35" s="46">
        <f t="shared" ref="D35:H35" si="1">+D29</f>
        <v>0</v>
      </c>
      <c r="E35" s="46">
        <f t="shared" si="1"/>
        <v>0</v>
      </c>
      <c r="F35" s="46">
        <f t="shared" si="1"/>
        <v>0</v>
      </c>
      <c r="G35" s="46">
        <f t="shared" si="1"/>
        <v>0</v>
      </c>
      <c r="H35" s="46">
        <f t="shared" si="1"/>
        <v>0</v>
      </c>
    </row>
    <row r="36" spans="1:14" x14ac:dyDescent="0.25">
      <c r="A36" s="105"/>
      <c r="B36" s="120" t="s">
        <v>178</v>
      </c>
      <c r="C36" s="141">
        <f t="shared" ref="C36:H36" si="2">+C35/(C30/100)</f>
        <v>5.2481757725943504E-2</v>
      </c>
      <c r="D36" s="141" t="e">
        <f t="shared" si="2"/>
        <v>#DIV/0!</v>
      </c>
      <c r="E36" s="141" t="e">
        <f t="shared" si="2"/>
        <v>#DIV/0!</v>
      </c>
      <c r="F36" s="141" t="e">
        <f t="shared" si="2"/>
        <v>#DIV/0!</v>
      </c>
      <c r="G36" s="141" t="e">
        <f t="shared" si="2"/>
        <v>#DIV/0!</v>
      </c>
      <c r="H36" s="141" t="e">
        <f t="shared" si="2"/>
        <v>#DIV/0!</v>
      </c>
    </row>
    <row r="37" spans="1:14" x14ac:dyDescent="0.25">
      <c r="A37" s="912" t="s">
        <v>407</v>
      </c>
      <c r="B37" s="120"/>
      <c r="C37" s="47"/>
      <c r="D37" s="141"/>
      <c r="E37" s="141"/>
      <c r="F37" s="141"/>
      <c r="G37" s="121"/>
      <c r="H37" s="121"/>
    </row>
    <row r="38" spans="1:14" x14ac:dyDescent="0.25">
      <c r="A38" s="27" t="s">
        <v>408</v>
      </c>
      <c r="B38" s="28"/>
      <c r="C38" s="7"/>
      <c r="D38" s="46" t="e">
        <f>+#REF!+D35</f>
        <v>#REF!</v>
      </c>
      <c r="E38" s="46" t="e">
        <f>+#REF!+E35</f>
        <v>#REF!</v>
      </c>
      <c r="F38" s="46" t="e">
        <f>+#REF!+F35</f>
        <v>#REF!</v>
      </c>
      <c r="G38" s="46" t="e">
        <f>+#REF!+G35</f>
        <v>#REF!</v>
      </c>
      <c r="H38" s="46" t="e">
        <f>+#REF!+H35</f>
        <v>#REF!</v>
      </c>
    </row>
    <row r="39" spans="1:14" x14ac:dyDescent="0.25">
      <c r="A39" s="27"/>
      <c r="B39" s="28"/>
      <c r="C39" s="7"/>
      <c r="D39" s="46"/>
      <c r="E39" s="46"/>
      <c r="F39" s="46"/>
      <c r="G39" s="46"/>
      <c r="H39" s="46"/>
    </row>
    <row r="40" spans="1:14" x14ac:dyDescent="0.25">
      <c r="A40" s="104" t="s">
        <v>422</v>
      </c>
      <c r="B40" s="45"/>
      <c r="C40" s="46"/>
      <c r="D40" s="46"/>
      <c r="E40" s="46"/>
      <c r="F40" s="46"/>
      <c r="G40" s="46"/>
      <c r="H40" s="46"/>
    </row>
    <row r="41" spans="1:14" x14ac:dyDescent="0.25">
      <c r="A41" s="27"/>
      <c r="B41" s="28"/>
      <c r="C41" s="46"/>
      <c r="D41" s="47"/>
      <c r="E41" s="47"/>
      <c r="F41" s="47"/>
      <c r="G41" s="47"/>
      <c r="H41" s="47"/>
    </row>
    <row r="42" spans="1:14" x14ac:dyDescent="0.3">
      <c r="A42" s="5" t="s">
        <v>179</v>
      </c>
      <c r="C42" s="48"/>
      <c r="D42" s="48"/>
      <c r="E42" s="48"/>
      <c r="F42" s="48"/>
      <c r="G42" s="48"/>
      <c r="H42" s="48"/>
    </row>
    <row r="43" spans="1:14" x14ac:dyDescent="0.3">
      <c r="A43" s="859" t="s">
        <v>69</v>
      </c>
      <c r="B43" s="860"/>
      <c r="C43" s="63"/>
      <c r="D43" s="60"/>
      <c r="E43" s="49"/>
      <c r="F43" s="49"/>
      <c r="G43" s="49"/>
      <c r="H43" s="49"/>
    </row>
    <row r="44" spans="1:14" x14ac:dyDescent="0.25">
      <c r="A44" s="861" t="s">
        <v>80</v>
      </c>
      <c r="B44" s="862"/>
      <c r="C44" s="64"/>
      <c r="D44" s="61"/>
      <c r="E44" s="50"/>
      <c r="F44" s="50"/>
      <c r="G44" s="50"/>
      <c r="H44" s="50"/>
    </row>
    <row r="45" spans="1:14" s="942" customFormat="1" x14ac:dyDescent="0.25">
      <c r="A45" s="937" t="s">
        <v>367</v>
      </c>
      <c r="B45" s="938"/>
      <c r="C45" s="939"/>
      <c r="D45" s="940"/>
      <c r="E45" s="941"/>
      <c r="F45" s="941"/>
      <c r="G45" s="941"/>
      <c r="H45" s="941"/>
    </row>
    <row r="46" spans="1:14" s="936" customFormat="1" x14ac:dyDescent="0.25">
      <c r="A46" s="943" t="s">
        <v>368</v>
      </c>
      <c r="B46" s="944"/>
      <c r="C46" s="945"/>
      <c r="D46" s="946"/>
      <c r="E46" s="947"/>
      <c r="F46" s="947"/>
      <c r="G46" s="947"/>
      <c r="H46" s="947"/>
    </row>
    <row r="47" spans="1:14" x14ac:dyDescent="0.3">
      <c r="A47" s="859" t="s">
        <v>69</v>
      </c>
      <c r="B47" s="860"/>
      <c r="C47" s="63"/>
      <c r="D47" s="60"/>
      <c r="E47" s="49"/>
      <c r="F47" s="49"/>
      <c r="G47" s="49"/>
      <c r="H47" s="49"/>
    </row>
    <row r="48" spans="1:14" x14ac:dyDescent="0.25">
      <c r="A48" s="861" t="s">
        <v>80</v>
      </c>
      <c r="B48" s="862"/>
      <c r="C48" s="64"/>
      <c r="D48" s="61"/>
      <c r="E48" s="50"/>
      <c r="F48" s="50"/>
      <c r="G48" s="50"/>
      <c r="H48" s="50"/>
    </row>
    <row r="49" spans="1:8" ht="15" customHeight="1" x14ac:dyDescent="0.25">
      <c r="A49" s="861" t="s">
        <v>367</v>
      </c>
      <c r="B49" s="862"/>
      <c r="C49" s="64"/>
      <c r="D49" s="61"/>
      <c r="E49" s="50"/>
      <c r="F49" s="50"/>
      <c r="G49" s="50"/>
      <c r="H49" s="50"/>
    </row>
    <row r="50" spans="1:8" ht="15" customHeight="1" x14ac:dyDescent="0.25">
      <c r="A50" s="863" t="s">
        <v>368</v>
      </c>
      <c r="B50" s="864"/>
      <c r="C50" s="65"/>
      <c r="D50" s="62"/>
      <c r="E50" s="51"/>
      <c r="F50" s="51"/>
      <c r="G50" s="51"/>
      <c r="H50" s="51"/>
    </row>
    <row r="51" spans="1:8" ht="15" customHeight="1" x14ac:dyDescent="0.3">
      <c r="A51" s="859" t="s">
        <v>69</v>
      </c>
      <c r="B51" s="860"/>
      <c r="C51" s="63"/>
      <c r="D51" s="60"/>
      <c r="E51" s="49"/>
      <c r="F51" s="49"/>
      <c r="G51" s="49"/>
      <c r="H51" s="49"/>
    </row>
    <row r="52" spans="1:8" ht="15" customHeight="1" x14ac:dyDescent="0.25">
      <c r="A52" s="861" t="s">
        <v>80</v>
      </c>
      <c r="B52" s="862"/>
      <c r="C52" s="64"/>
      <c r="D52" s="61"/>
      <c r="E52" s="50"/>
      <c r="F52" s="50"/>
      <c r="G52" s="50"/>
      <c r="H52" s="50"/>
    </row>
    <row r="53" spans="1:8" ht="15" customHeight="1" x14ac:dyDescent="0.25">
      <c r="A53" s="861" t="s">
        <v>367</v>
      </c>
      <c r="B53" s="862"/>
      <c r="C53" s="64"/>
      <c r="D53" s="61"/>
      <c r="E53" s="50"/>
      <c r="F53" s="50"/>
      <c r="G53" s="50"/>
      <c r="H53" s="50"/>
    </row>
    <row r="54" spans="1:8" ht="15" customHeight="1" x14ac:dyDescent="0.25">
      <c r="A54" s="863" t="s">
        <v>368</v>
      </c>
      <c r="B54" s="864"/>
      <c r="C54" s="65"/>
      <c r="D54" s="62"/>
      <c r="E54" s="51"/>
      <c r="F54" s="51"/>
      <c r="G54" s="51"/>
      <c r="H54" s="51"/>
    </row>
    <row r="55" spans="1:8" ht="15" customHeight="1" x14ac:dyDescent="0.3">
      <c r="A55" s="6" t="s">
        <v>207</v>
      </c>
      <c r="C55" s="30"/>
      <c r="D55" s="30"/>
      <c r="E55" s="30"/>
      <c r="F55" s="30"/>
      <c r="G55" s="30"/>
      <c r="H55" s="30"/>
    </row>
    <row r="56" spans="1:8" ht="15" customHeight="1" x14ac:dyDescent="0.3">
      <c r="A56" s="6"/>
      <c r="B56" s="6"/>
      <c r="C56" s="30"/>
      <c r="D56" s="30"/>
      <c r="E56" s="30"/>
      <c r="F56" s="30"/>
      <c r="G56" s="30"/>
      <c r="H56" s="30"/>
    </row>
    <row r="57" spans="1:8" ht="15" customHeight="1" x14ac:dyDescent="0.25">
      <c r="A57" s="865" t="s">
        <v>241</v>
      </c>
      <c r="B57" s="866"/>
      <c r="C57" s="110"/>
      <c r="D57" s="111"/>
      <c r="E57" s="112"/>
      <c r="F57" s="112"/>
      <c r="G57" s="112"/>
      <c r="H57" s="112"/>
    </row>
    <row r="58" spans="1:8" s="86" customFormat="1" ht="15" customHeight="1" x14ac:dyDescent="0.25">
      <c r="A58" s="867" t="s">
        <v>242</v>
      </c>
      <c r="B58" s="868"/>
      <c r="C58" s="113"/>
      <c r="D58" s="114"/>
      <c r="E58" s="115"/>
      <c r="F58" s="115"/>
      <c r="G58" s="115"/>
      <c r="H58" s="115"/>
    </row>
    <row r="59" spans="1:8" s="86" customFormat="1" ht="15" customHeight="1" x14ac:dyDescent="0.25">
      <c r="A59" s="869"/>
      <c r="C59" s="87"/>
      <c r="D59" s="87"/>
      <c r="E59" s="87"/>
      <c r="F59" s="87"/>
      <c r="G59" s="87"/>
      <c r="H59" s="87"/>
    </row>
    <row r="60" spans="1:8" s="86" customFormat="1" ht="15" customHeight="1" x14ac:dyDescent="0.25">
      <c r="A60" s="870" t="s">
        <v>234</v>
      </c>
      <c r="B60" s="871"/>
      <c r="C60" s="872"/>
      <c r="D60" s="873"/>
      <c r="E60" s="85"/>
      <c r="F60" s="85"/>
      <c r="G60" s="85"/>
      <c r="H60" s="85"/>
    </row>
    <row r="61" spans="1:8" ht="30.75" customHeight="1" x14ac:dyDescent="0.25">
      <c r="A61" s="1081" t="s">
        <v>369</v>
      </c>
      <c r="B61" s="1082"/>
      <c r="C61" s="83"/>
      <c r="D61" s="84"/>
      <c r="E61" s="85"/>
      <c r="F61" s="85"/>
      <c r="G61" s="85"/>
      <c r="H61" s="85"/>
    </row>
    <row r="62" spans="1:8" ht="35.25" customHeight="1" x14ac:dyDescent="0.25">
      <c r="A62" s="1083" t="s">
        <v>370</v>
      </c>
      <c r="B62" s="1084"/>
      <c r="C62" s="874"/>
      <c r="D62" s="875"/>
      <c r="E62" s="85"/>
      <c r="F62" s="85"/>
      <c r="G62" s="85"/>
      <c r="H62" s="85"/>
    </row>
    <row r="63" spans="1:8" ht="15" customHeight="1" x14ac:dyDescent="0.3">
      <c r="A63" s="6"/>
      <c r="B63" s="6"/>
      <c r="C63" s="30"/>
      <c r="D63" s="30"/>
      <c r="E63" s="30"/>
      <c r="F63" s="30"/>
      <c r="G63" s="30"/>
      <c r="H63" s="30"/>
    </row>
    <row r="64" spans="1:8" ht="15" customHeight="1" x14ac:dyDescent="0.3">
      <c r="A64" s="6"/>
      <c r="B64" s="6"/>
      <c r="C64" s="30"/>
      <c r="D64" s="30"/>
      <c r="E64" s="30"/>
      <c r="F64" s="30"/>
      <c r="G64" s="30"/>
      <c r="H64" s="30"/>
    </row>
    <row r="65" spans="1:8" ht="15" customHeight="1" x14ac:dyDescent="0.3">
      <c r="A65" s="6"/>
      <c r="B65" s="6"/>
      <c r="C65" s="30"/>
      <c r="D65" s="30"/>
      <c r="E65" s="30"/>
      <c r="F65" s="30"/>
      <c r="G65" s="30"/>
      <c r="H65" s="30"/>
    </row>
    <row r="66" spans="1:8" ht="15" customHeight="1" x14ac:dyDescent="0.3">
      <c r="A66" s="6"/>
      <c r="B66" s="6"/>
      <c r="C66" s="30"/>
      <c r="D66" s="30"/>
      <c r="E66" s="30"/>
      <c r="F66" s="30"/>
      <c r="G66" s="30"/>
      <c r="H66" s="30"/>
    </row>
    <row r="67" spans="1:8" ht="15" customHeight="1" x14ac:dyDescent="0.3">
      <c r="A67" s="6"/>
      <c r="B67" s="6"/>
      <c r="C67" s="30"/>
      <c r="D67" s="30"/>
      <c r="E67" s="30"/>
      <c r="F67" s="30"/>
      <c r="G67" s="30"/>
      <c r="H67" s="30"/>
    </row>
    <row r="68" spans="1:8" ht="15" customHeight="1" x14ac:dyDescent="0.3">
      <c r="A68" s="6"/>
      <c r="B68" s="6"/>
      <c r="C68" s="30"/>
      <c r="D68" s="30"/>
      <c r="E68" s="30"/>
      <c r="F68" s="30"/>
      <c r="G68" s="30"/>
      <c r="H68" s="30"/>
    </row>
    <row r="69" spans="1:8" ht="15" customHeight="1" x14ac:dyDescent="0.3">
      <c r="A69" s="6"/>
      <c r="B69" s="6"/>
      <c r="C69" s="30"/>
      <c r="D69" s="30"/>
      <c r="E69" s="30"/>
      <c r="F69" s="30"/>
      <c r="G69" s="30"/>
      <c r="H69" s="30"/>
    </row>
    <row r="70" spans="1:8" ht="15" customHeight="1" x14ac:dyDescent="0.3">
      <c r="A70" s="6"/>
      <c r="B70" s="6"/>
      <c r="C70" s="30"/>
      <c r="D70" s="30"/>
      <c r="E70" s="30"/>
      <c r="F70" s="30"/>
      <c r="G70" s="30"/>
      <c r="H70" s="30"/>
    </row>
    <row r="71" spans="1:8" ht="15" customHeight="1" x14ac:dyDescent="0.3">
      <c r="A71" s="6"/>
      <c r="B71" s="6"/>
      <c r="C71" s="30"/>
      <c r="D71" s="30"/>
      <c r="E71" s="30"/>
      <c r="F71" s="30"/>
      <c r="G71" s="30"/>
      <c r="H71" s="30"/>
    </row>
    <row r="72" spans="1:8" ht="15" customHeight="1" x14ac:dyDescent="0.3">
      <c r="A72" s="6"/>
      <c r="B72" s="6"/>
      <c r="C72" s="30"/>
      <c r="D72" s="30"/>
      <c r="E72" s="30"/>
      <c r="F72" s="30"/>
      <c r="G72" s="30"/>
      <c r="H72" s="30"/>
    </row>
    <row r="73" spans="1:8" ht="15" customHeight="1" x14ac:dyDescent="0.3">
      <c r="A73" s="6"/>
      <c r="B73" s="6"/>
      <c r="C73" s="30"/>
      <c r="D73" s="30"/>
      <c r="E73" s="30"/>
      <c r="F73" s="30"/>
      <c r="G73" s="30"/>
      <c r="H73" s="30"/>
    </row>
    <row r="74" spans="1:8" ht="15" customHeight="1" x14ac:dyDescent="0.3">
      <c r="A74" s="6"/>
      <c r="B74" s="6"/>
      <c r="C74" s="30"/>
      <c r="D74" s="30"/>
      <c r="E74" s="30"/>
      <c r="F74" s="30"/>
      <c r="G74" s="30"/>
      <c r="H74" s="30"/>
    </row>
    <row r="75" spans="1:8" ht="15" customHeight="1" x14ac:dyDescent="0.3">
      <c r="A75" s="6"/>
      <c r="B75" s="6"/>
      <c r="C75" s="30"/>
      <c r="D75" s="30"/>
      <c r="E75" s="30"/>
      <c r="F75" s="30"/>
      <c r="G75" s="30"/>
      <c r="H75" s="30"/>
    </row>
    <row r="76" spans="1:8" ht="15" customHeight="1" x14ac:dyDescent="0.3">
      <c r="A76" s="6"/>
      <c r="B76" s="6"/>
      <c r="C76" s="30"/>
      <c r="D76" s="30"/>
      <c r="E76" s="30"/>
      <c r="F76" s="30"/>
      <c r="G76" s="30"/>
      <c r="H76" s="30"/>
    </row>
    <row r="77" spans="1:8" ht="15" customHeight="1" x14ac:dyDescent="0.3">
      <c r="A77" s="6"/>
      <c r="B77" s="6"/>
      <c r="C77" s="30"/>
      <c r="D77" s="30"/>
      <c r="E77" s="30"/>
      <c r="F77" s="30"/>
      <c r="G77" s="30"/>
      <c r="H77" s="30"/>
    </row>
    <row r="78" spans="1:8" ht="15" customHeight="1" x14ac:dyDescent="0.3">
      <c r="A78" s="6"/>
      <c r="B78" s="6"/>
      <c r="C78" s="30"/>
      <c r="D78" s="30"/>
      <c r="E78" s="30"/>
      <c r="F78" s="30"/>
      <c r="G78" s="30"/>
      <c r="H78" s="30"/>
    </row>
    <row r="79" spans="1:8" ht="15" customHeight="1" x14ac:dyDescent="0.3">
      <c r="A79" s="6"/>
      <c r="B79" s="6"/>
      <c r="C79" s="30"/>
      <c r="D79" s="30"/>
      <c r="E79" s="30"/>
      <c r="F79" s="30"/>
      <c r="G79" s="30"/>
      <c r="H79" s="30"/>
    </row>
    <row r="80" spans="1:8" ht="15" customHeight="1" x14ac:dyDescent="0.3">
      <c r="A80" s="6"/>
      <c r="B80" s="6"/>
      <c r="C80" s="30"/>
      <c r="D80" s="30"/>
      <c r="E80" s="30"/>
      <c r="F80" s="30"/>
      <c r="G80" s="30"/>
      <c r="H80" s="30"/>
    </row>
    <row r="81" spans="1:8" ht="15" customHeight="1" x14ac:dyDescent="0.3">
      <c r="A81" s="6"/>
      <c r="B81" s="6"/>
      <c r="C81" s="30"/>
      <c r="D81" s="30"/>
      <c r="E81" s="30"/>
      <c r="F81" s="30"/>
      <c r="G81" s="30"/>
      <c r="H81" s="30"/>
    </row>
    <row r="82" spans="1:8" ht="15" customHeight="1" x14ac:dyDescent="0.3">
      <c r="A82" s="6"/>
      <c r="B82" s="6"/>
      <c r="C82" s="30"/>
      <c r="D82" s="30"/>
      <c r="E82" s="30"/>
      <c r="F82" s="30"/>
      <c r="G82" s="30"/>
      <c r="H82" s="30"/>
    </row>
    <row r="83" spans="1:8" ht="15" customHeight="1" x14ac:dyDescent="0.3">
      <c r="A83" s="6"/>
      <c r="B83" s="6"/>
      <c r="C83" s="30"/>
      <c r="D83" s="30"/>
      <c r="E83" s="30"/>
      <c r="F83" s="30"/>
      <c r="G83" s="30"/>
      <c r="H83" s="30"/>
    </row>
    <row r="84" spans="1:8" ht="15" customHeight="1" x14ac:dyDescent="0.3">
      <c r="A84" s="6"/>
      <c r="B84" s="6"/>
      <c r="C84" s="30"/>
      <c r="D84" s="30"/>
      <c r="E84" s="30"/>
      <c r="F84" s="30"/>
      <c r="G84" s="30"/>
      <c r="H84" s="30"/>
    </row>
    <row r="85" spans="1:8" ht="15" customHeight="1" x14ac:dyDescent="0.3">
      <c r="A85" s="6"/>
      <c r="B85" s="6"/>
      <c r="C85" s="30"/>
      <c r="D85" s="30"/>
      <c r="E85" s="30"/>
      <c r="F85" s="30"/>
      <c r="G85" s="30"/>
      <c r="H85" s="30"/>
    </row>
    <row r="86" spans="1:8" ht="15" customHeight="1" x14ac:dyDescent="0.3">
      <c r="A86" s="6"/>
      <c r="B86" s="6"/>
      <c r="C86" s="30"/>
      <c r="D86" s="30"/>
      <c r="E86" s="30"/>
      <c r="F86" s="30"/>
      <c r="G86" s="30"/>
      <c r="H86" s="30"/>
    </row>
    <row r="87" spans="1:8" ht="15" customHeight="1" x14ac:dyDescent="0.3">
      <c r="A87" s="6"/>
      <c r="B87" s="6"/>
      <c r="C87" s="30"/>
      <c r="D87" s="30"/>
      <c r="E87" s="30"/>
      <c r="F87" s="30"/>
      <c r="G87" s="30"/>
      <c r="H87" s="30"/>
    </row>
    <row r="88" spans="1:8" ht="15" customHeight="1" x14ac:dyDescent="0.3">
      <c r="A88" s="6"/>
      <c r="B88" s="6"/>
      <c r="C88" s="30"/>
      <c r="D88" s="30"/>
      <c r="E88" s="30"/>
      <c r="F88" s="30"/>
      <c r="G88" s="30"/>
      <c r="H88" s="30"/>
    </row>
    <row r="89" spans="1:8" ht="15" customHeight="1" x14ac:dyDescent="0.3">
      <c r="A89" s="6"/>
      <c r="B89" s="6"/>
      <c r="C89" s="30"/>
      <c r="D89" s="30"/>
      <c r="E89" s="30"/>
      <c r="F89" s="30"/>
      <c r="G89" s="30"/>
      <c r="H89" s="30"/>
    </row>
    <row r="90" spans="1:8" ht="15" customHeight="1" x14ac:dyDescent="0.3">
      <c r="A90" s="6"/>
      <c r="B90" s="6"/>
      <c r="C90" s="30"/>
      <c r="D90" s="30"/>
      <c r="E90" s="30"/>
      <c r="F90" s="30"/>
      <c r="G90" s="30"/>
      <c r="H90" s="30"/>
    </row>
    <row r="91" spans="1:8" ht="15" customHeight="1" x14ac:dyDescent="0.3">
      <c r="A91" s="6"/>
      <c r="B91" s="6"/>
      <c r="C91" s="30"/>
      <c r="D91" s="30"/>
      <c r="E91" s="30"/>
      <c r="F91" s="30"/>
      <c r="G91" s="30"/>
      <c r="H91" s="30"/>
    </row>
    <row r="92" spans="1:8" ht="15" customHeight="1" x14ac:dyDescent="0.3">
      <c r="A92" s="6"/>
      <c r="B92" s="6"/>
      <c r="C92" s="30"/>
      <c r="D92" s="30"/>
      <c r="E92" s="30"/>
      <c r="F92" s="30"/>
      <c r="G92" s="30"/>
      <c r="H92" s="30"/>
    </row>
    <row r="93" spans="1:8" ht="15" customHeight="1" x14ac:dyDescent="0.3">
      <c r="A93" s="6"/>
      <c r="B93" s="6"/>
      <c r="C93" s="30"/>
      <c r="D93" s="30"/>
      <c r="E93" s="30"/>
      <c r="F93" s="30"/>
      <c r="G93" s="30"/>
      <c r="H93" s="30"/>
    </row>
    <row r="94" spans="1:8" ht="15" customHeight="1" x14ac:dyDescent="0.3">
      <c r="A94" s="6"/>
      <c r="B94" s="6"/>
      <c r="C94" s="30"/>
      <c r="D94" s="30"/>
      <c r="E94" s="30"/>
      <c r="F94" s="30"/>
      <c r="G94" s="30"/>
      <c r="H94" s="30"/>
    </row>
    <row r="95" spans="1:8" ht="15" customHeight="1" x14ac:dyDescent="0.3">
      <c r="A95" s="6"/>
      <c r="B95" s="6"/>
      <c r="C95" s="30"/>
      <c r="D95" s="30"/>
      <c r="E95" s="30"/>
      <c r="F95" s="30"/>
      <c r="G95" s="30"/>
      <c r="H95" s="30"/>
    </row>
    <row r="96" spans="1:8" ht="15" customHeight="1" x14ac:dyDescent="0.3">
      <c r="A96" s="6"/>
      <c r="B96" s="6"/>
      <c r="C96" s="30"/>
      <c r="D96" s="30"/>
      <c r="E96" s="30"/>
      <c r="F96" s="30"/>
      <c r="G96" s="30"/>
      <c r="H96" s="30"/>
    </row>
    <row r="97" spans="1:8" ht="15" customHeight="1" x14ac:dyDescent="0.3">
      <c r="A97" s="6"/>
      <c r="B97" s="6"/>
      <c r="C97" s="30"/>
      <c r="D97" s="30"/>
      <c r="E97" s="30"/>
      <c r="F97" s="30"/>
      <c r="G97" s="30"/>
      <c r="H97" s="30"/>
    </row>
    <row r="98" spans="1:8" ht="15" customHeight="1" x14ac:dyDescent="0.3">
      <c r="A98" s="6"/>
      <c r="B98" s="6"/>
      <c r="C98" s="30"/>
      <c r="D98" s="30"/>
      <c r="E98" s="30"/>
      <c r="F98" s="30"/>
      <c r="G98" s="30"/>
      <c r="H98" s="30"/>
    </row>
    <row r="99" spans="1:8" ht="15" customHeight="1" x14ac:dyDescent="0.3">
      <c r="A99" s="6"/>
      <c r="B99" s="6"/>
      <c r="C99" s="30"/>
      <c r="D99" s="30"/>
      <c r="E99" s="30"/>
      <c r="F99" s="30"/>
      <c r="G99" s="30"/>
      <c r="H99" s="30"/>
    </row>
    <row r="100" spans="1:8" ht="15" customHeight="1" x14ac:dyDescent="0.3">
      <c r="A100" s="6"/>
      <c r="B100" s="6"/>
      <c r="C100" s="30"/>
      <c r="D100" s="30"/>
      <c r="E100" s="30"/>
      <c r="F100" s="30"/>
      <c r="G100" s="30"/>
      <c r="H100" s="30"/>
    </row>
    <row r="101" spans="1:8" ht="15" customHeight="1" x14ac:dyDescent="0.3">
      <c r="A101" s="6"/>
      <c r="B101" s="6"/>
      <c r="C101" s="30"/>
      <c r="D101" s="30"/>
      <c r="E101" s="30"/>
      <c r="F101" s="30"/>
      <c r="G101" s="30"/>
      <c r="H101" s="30"/>
    </row>
    <row r="102" spans="1:8" ht="15" customHeight="1" x14ac:dyDescent="0.3">
      <c r="A102" s="6"/>
      <c r="B102" s="6"/>
      <c r="C102" s="30"/>
      <c r="D102" s="30"/>
      <c r="E102" s="30"/>
      <c r="F102" s="30"/>
      <c r="G102" s="30"/>
      <c r="H102" s="30"/>
    </row>
    <row r="103" spans="1:8" ht="15" customHeight="1" x14ac:dyDescent="0.3">
      <c r="A103" s="6"/>
      <c r="B103" s="6"/>
      <c r="C103" s="30"/>
      <c r="D103" s="30"/>
      <c r="E103" s="30"/>
      <c r="F103" s="30"/>
      <c r="G103" s="30"/>
      <c r="H103" s="30"/>
    </row>
    <row r="104" spans="1:8" ht="15" customHeight="1" x14ac:dyDescent="0.3">
      <c r="A104" s="6"/>
      <c r="B104" s="6"/>
      <c r="C104" s="30"/>
      <c r="D104" s="30"/>
      <c r="E104" s="30"/>
      <c r="F104" s="30"/>
      <c r="G104" s="30"/>
      <c r="H104" s="30"/>
    </row>
    <row r="105" spans="1:8" ht="15" customHeight="1" x14ac:dyDescent="0.3">
      <c r="A105" s="6"/>
      <c r="B105" s="6"/>
      <c r="C105" s="30"/>
      <c r="D105" s="30"/>
      <c r="E105" s="30"/>
      <c r="F105" s="30"/>
      <c r="G105" s="30"/>
      <c r="H105" s="30"/>
    </row>
    <row r="106" spans="1:8" ht="15" customHeight="1" x14ac:dyDescent="0.3">
      <c r="A106" s="6"/>
      <c r="B106" s="6"/>
      <c r="C106" s="30"/>
      <c r="D106" s="30"/>
      <c r="E106" s="30"/>
      <c r="F106" s="30"/>
      <c r="G106" s="30"/>
      <c r="H106" s="30"/>
    </row>
    <row r="107" spans="1:8" ht="15" customHeight="1" x14ac:dyDescent="0.3">
      <c r="A107" s="6"/>
      <c r="B107" s="6"/>
      <c r="C107" s="30"/>
      <c r="D107" s="30"/>
      <c r="E107" s="30"/>
      <c r="F107" s="30"/>
      <c r="G107" s="30"/>
      <c r="H107" s="30"/>
    </row>
    <row r="108" spans="1:8" ht="15" customHeight="1" x14ac:dyDescent="0.3">
      <c r="A108" s="6"/>
      <c r="B108" s="6"/>
      <c r="C108" s="30"/>
      <c r="D108" s="30"/>
      <c r="E108" s="30"/>
      <c r="F108" s="30"/>
      <c r="G108" s="30"/>
      <c r="H108" s="30"/>
    </row>
    <row r="109" spans="1:8" ht="15" customHeight="1" x14ac:dyDescent="0.3">
      <c r="A109" s="6"/>
      <c r="B109" s="6"/>
      <c r="C109" s="30"/>
      <c r="D109" s="30"/>
      <c r="E109" s="30"/>
      <c r="F109" s="30"/>
      <c r="G109" s="30"/>
      <c r="H109" s="30"/>
    </row>
    <row r="110" spans="1:8" ht="15" customHeight="1" x14ac:dyDescent="0.3">
      <c r="A110" s="6"/>
      <c r="B110" s="6"/>
      <c r="C110" s="30"/>
      <c r="D110" s="30"/>
      <c r="E110" s="30"/>
      <c r="F110" s="30"/>
      <c r="G110" s="30"/>
      <c r="H110" s="30"/>
    </row>
    <row r="111" spans="1:8" ht="15" customHeight="1" x14ac:dyDescent="0.3">
      <c r="A111" s="6"/>
      <c r="B111" s="6"/>
      <c r="C111" s="30"/>
      <c r="D111" s="30"/>
      <c r="E111" s="30"/>
      <c r="F111" s="30"/>
      <c r="G111" s="30"/>
      <c r="H111" s="30"/>
    </row>
    <row r="112" spans="1:8" ht="15" customHeight="1" x14ac:dyDescent="0.3">
      <c r="A112" s="6"/>
      <c r="B112" s="6"/>
      <c r="C112" s="30"/>
      <c r="D112" s="30"/>
      <c r="E112" s="30"/>
      <c r="F112" s="30"/>
      <c r="G112" s="30"/>
      <c r="H112" s="30"/>
    </row>
    <row r="113" spans="1:8" ht="15" customHeight="1" x14ac:dyDescent="0.3">
      <c r="A113" s="6"/>
      <c r="B113" s="6"/>
      <c r="C113" s="30"/>
      <c r="D113" s="30"/>
      <c r="E113" s="30"/>
      <c r="F113" s="30"/>
      <c r="G113" s="30"/>
      <c r="H113" s="30"/>
    </row>
    <row r="114" spans="1:8" ht="15" customHeight="1" x14ac:dyDescent="0.3">
      <c r="A114" s="6"/>
      <c r="B114" s="6"/>
      <c r="C114" s="30"/>
      <c r="D114" s="30"/>
      <c r="E114" s="30"/>
      <c r="F114" s="30"/>
      <c r="G114" s="30"/>
      <c r="H114" s="30"/>
    </row>
    <row r="115" spans="1:8" ht="15" customHeight="1" x14ac:dyDescent="0.3">
      <c r="A115" s="6"/>
      <c r="B115" s="6"/>
      <c r="C115" s="30"/>
      <c r="D115" s="30"/>
      <c r="E115" s="30"/>
      <c r="F115" s="30"/>
      <c r="G115" s="30"/>
      <c r="H115" s="30"/>
    </row>
    <row r="116" spans="1:8" ht="15" customHeight="1" x14ac:dyDescent="0.3">
      <c r="A116" s="6"/>
      <c r="B116" s="6"/>
      <c r="C116" s="30"/>
      <c r="D116" s="30"/>
      <c r="E116" s="30"/>
      <c r="F116" s="30"/>
      <c r="G116" s="30"/>
      <c r="H116" s="30"/>
    </row>
    <row r="117" spans="1:8" ht="15" customHeight="1" x14ac:dyDescent="0.3">
      <c r="A117" s="6"/>
      <c r="B117" s="6"/>
      <c r="C117" s="30"/>
      <c r="D117" s="30"/>
      <c r="E117" s="30"/>
      <c r="F117" s="30"/>
      <c r="G117" s="30"/>
      <c r="H117" s="30"/>
    </row>
    <row r="118" spans="1:8" ht="15" customHeight="1" x14ac:dyDescent="0.3">
      <c r="A118" s="6"/>
      <c r="B118" s="6"/>
      <c r="C118" s="30"/>
      <c r="D118" s="30"/>
      <c r="E118" s="30"/>
      <c r="F118" s="30"/>
      <c r="G118" s="30"/>
      <c r="H118" s="30"/>
    </row>
    <row r="119" spans="1:8" ht="15" customHeight="1" x14ac:dyDescent="0.3">
      <c r="A119" s="6"/>
      <c r="B119" s="6"/>
      <c r="C119" s="30"/>
      <c r="D119" s="30"/>
      <c r="E119" s="30"/>
      <c r="F119" s="30"/>
      <c r="G119" s="30"/>
      <c r="H119" s="30"/>
    </row>
    <row r="120" spans="1:8" ht="15" customHeight="1" x14ac:dyDescent="0.3">
      <c r="A120" s="6"/>
      <c r="B120" s="6"/>
      <c r="C120" s="30"/>
      <c r="D120" s="30"/>
      <c r="E120" s="30"/>
      <c r="F120" s="30"/>
      <c r="G120" s="30"/>
      <c r="H120" s="30"/>
    </row>
    <row r="121" spans="1:8" ht="15" customHeight="1" x14ac:dyDescent="0.3">
      <c r="A121" s="6"/>
      <c r="B121" s="6"/>
      <c r="C121" s="30"/>
      <c r="D121" s="30"/>
      <c r="E121" s="30"/>
      <c r="F121" s="30"/>
      <c r="G121" s="30"/>
      <c r="H121" s="30"/>
    </row>
    <row r="122" spans="1:8" ht="15" customHeight="1" x14ac:dyDescent="0.3">
      <c r="A122" s="6"/>
      <c r="B122" s="6"/>
      <c r="C122" s="30"/>
      <c r="D122" s="30"/>
      <c r="E122" s="30"/>
      <c r="F122" s="30"/>
      <c r="G122" s="30"/>
      <c r="H122" s="30"/>
    </row>
    <row r="123" spans="1:8" ht="15" customHeight="1" x14ac:dyDescent="0.3">
      <c r="A123" s="6"/>
      <c r="B123" s="6"/>
      <c r="C123" s="30"/>
      <c r="D123" s="30"/>
      <c r="E123" s="30"/>
      <c r="F123" s="30"/>
      <c r="G123" s="30"/>
      <c r="H123" s="30"/>
    </row>
    <row r="124" spans="1:8" ht="15" customHeight="1" x14ac:dyDescent="0.3">
      <c r="A124" s="6"/>
      <c r="B124" s="6"/>
      <c r="C124" s="30"/>
      <c r="D124" s="30"/>
      <c r="E124" s="30"/>
      <c r="F124" s="30"/>
      <c r="G124" s="30"/>
      <c r="H124" s="30"/>
    </row>
    <row r="125" spans="1:8" ht="15" customHeight="1" x14ac:dyDescent="0.3">
      <c r="A125" s="6"/>
      <c r="B125" s="6"/>
      <c r="C125" s="30"/>
      <c r="D125" s="30"/>
      <c r="E125" s="30"/>
      <c r="F125" s="30"/>
      <c r="G125" s="30"/>
      <c r="H125" s="30"/>
    </row>
    <row r="126" spans="1:8" ht="15" customHeight="1" x14ac:dyDescent="0.3">
      <c r="A126" s="6"/>
      <c r="B126" s="6"/>
      <c r="C126" s="30"/>
      <c r="D126" s="30"/>
      <c r="E126" s="30"/>
      <c r="F126" s="30"/>
      <c r="G126" s="30"/>
      <c r="H126" s="30"/>
    </row>
    <row r="127" spans="1:8" ht="15" customHeight="1" x14ac:dyDescent="0.3">
      <c r="A127" s="6"/>
      <c r="B127" s="6"/>
      <c r="C127" s="30"/>
      <c r="D127" s="30"/>
      <c r="E127" s="30"/>
      <c r="F127" s="30"/>
      <c r="G127" s="30"/>
      <c r="H127" s="30"/>
    </row>
    <row r="128" spans="1:8" ht="15" customHeight="1" x14ac:dyDescent="0.3">
      <c r="A128" s="6"/>
      <c r="B128" s="6"/>
      <c r="C128" s="30"/>
      <c r="D128" s="30"/>
      <c r="E128" s="30"/>
      <c r="F128" s="30"/>
      <c r="G128" s="30"/>
      <c r="H128" s="30"/>
    </row>
    <row r="129" spans="1:8" ht="15" customHeight="1" x14ac:dyDescent="0.3">
      <c r="A129" s="6"/>
      <c r="B129" s="6"/>
      <c r="C129" s="30"/>
      <c r="D129" s="30"/>
      <c r="E129" s="30"/>
      <c r="F129" s="30"/>
      <c r="G129" s="30"/>
      <c r="H129" s="30"/>
    </row>
    <row r="130" spans="1:8" ht="15" customHeight="1" x14ac:dyDescent="0.3">
      <c r="A130" s="6"/>
      <c r="B130" s="6"/>
      <c r="C130" s="30"/>
      <c r="D130" s="30"/>
      <c r="E130" s="30"/>
      <c r="F130" s="30"/>
      <c r="G130" s="30"/>
      <c r="H130" s="30"/>
    </row>
    <row r="131" spans="1:8" ht="15" customHeight="1" x14ac:dyDescent="0.3">
      <c r="A131" s="6"/>
      <c r="B131" s="6"/>
      <c r="C131" s="30"/>
      <c r="D131" s="30"/>
      <c r="E131" s="30"/>
      <c r="F131" s="30"/>
      <c r="G131" s="30"/>
      <c r="H131" s="30"/>
    </row>
    <row r="132" spans="1:8" ht="15" customHeight="1" x14ac:dyDescent="0.3">
      <c r="A132" s="6"/>
      <c r="B132" s="6"/>
      <c r="C132" s="30"/>
      <c r="D132" s="30"/>
      <c r="E132" s="30"/>
      <c r="F132" s="30"/>
      <c r="G132" s="30"/>
      <c r="H132" s="30"/>
    </row>
    <row r="133" spans="1:8" ht="15" customHeight="1" x14ac:dyDescent="0.3">
      <c r="A133" s="6"/>
      <c r="B133" s="6"/>
      <c r="C133" s="30"/>
      <c r="D133" s="30"/>
      <c r="E133" s="30"/>
      <c r="F133" s="30"/>
      <c r="G133" s="30"/>
      <c r="H133" s="30"/>
    </row>
    <row r="134" spans="1:8" ht="15" customHeight="1" x14ac:dyDescent="0.3">
      <c r="A134" s="6"/>
      <c r="B134" s="6"/>
      <c r="C134" s="30"/>
      <c r="D134" s="30"/>
      <c r="E134" s="30"/>
      <c r="F134" s="30"/>
      <c r="G134" s="30"/>
      <c r="H134" s="30"/>
    </row>
    <row r="135" spans="1:8" ht="15" customHeight="1" x14ac:dyDescent="0.3">
      <c r="A135" s="6"/>
      <c r="B135" s="6"/>
      <c r="C135" s="30"/>
      <c r="D135" s="30"/>
      <c r="E135" s="30"/>
      <c r="F135" s="30"/>
      <c r="G135" s="30"/>
      <c r="H135" s="30"/>
    </row>
    <row r="136" spans="1:8" ht="15" customHeight="1" x14ac:dyDescent="0.3">
      <c r="A136" s="6"/>
      <c r="B136" s="6"/>
      <c r="C136" s="30"/>
      <c r="D136" s="30"/>
      <c r="E136" s="30"/>
      <c r="F136" s="30"/>
      <c r="G136" s="30"/>
      <c r="H136" s="30"/>
    </row>
    <row r="137" spans="1:8" ht="15" customHeight="1" x14ac:dyDescent="0.3">
      <c r="A137" s="6"/>
      <c r="B137" s="6"/>
      <c r="C137" s="30"/>
      <c r="D137" s="30"/>
      <c r="E137" s="30"/>
      <c r="F137" s="30"/>
      <c r="G137" s="30"/>
      <c r="H137" s="30"/>
    </row>
    <row r="138" spans="1:8" ht="15" customHeight="1" x14ac:dyDescent="0.3">
      <c r="A138" s="6"/>
      <c r="B138" s="6"/>
      <c r="C138" s="30"/>
      <c r="D138" s="30"/>
      <c r="E138" s="30"/>
      <c r="F138" s="30"/>
      <c r="G138" s="30"/>
      <c r="H138" s="30"/>
    </row>
    <row r="139" spans="1:8" ht="15" customHeight="1" x14ac:dyDescent="0.3">
      <c r="A139" s="6"/>
      <c r="B139" s="6"/>
      <c r="C139" s="30"/>
      <c r="D139" s="30"/>
      <c r="E139" s="30"/>
      <c r="F139" s="30"/>
      <c r="G139" s="30"/>
      <c r="H139" s="30"/>
    </row>
    <row r="140" spans="1:8" ht="15" customHeight="1" x14ac:dyDescent="0.3">
      <c r="A140" s="6"/>
      <c r="B140" s="6"/>
      <c r="C140" s="30"/>
      <c r="D140" s="30"/>
      <c r="E140" s="30"/>
      <c r="F140" s="30"/>
      <c r="G140" s="30"/>
      <c r="H140" s="30"/>
    </row>
    <row r="141" spans="1:8" ht="15" customHeight="1" x14ac:dyDescent="0.3">
      <c r="A141" s="6"/>
      <c r="B141" s="6"/>
      <c r="C141" s="30"/>
      <c r="D141" s="30"/>
      <c r="E141" s="30"/>
      <c r="F141" s="30"/>
      <c r="G141" s="30"/>
      <c r="H141" s="30"/>
    </row>
    <row r="142" spans="1:8" ht="15" customHeight="1" x14ac:dyDescent="0.3">
      <c r="A142" s="6"/>
      <c r="B142" s="6"/>
      <c r="C142" s="30"/>
      <c r="D142" s="30"/>
      <c r="E142" s="30"/>
      <c r="F142" s="30"/>
      <c r="G142" s="30"/>
      <c r="H142" s="30"/>
    </row>
    <row r="143" spans="1:8" ht="15" customHeight="1" x14ac:dyDescent="0.3">
      <c r="A143" s="6"/>
      <c r="B143" s="6"/>
      <c r="C143" s="30"/>
      <c r="D143" s="30"/>
      <c r="E143" s="30"/>
      <c r="F143" s="30"/>
      <c r="G143" s="30"/>
      <c r="H143" s="30"/>
    </row>
    <row r="144" spans="1:8" ht="15" customHeight="1" x14ac:dyDescent="0.3">
      <c r="A144" s="6"/>
      <c r="B144" s="6"/>
      <c r="C144" s="30"/>
      <c r="D144" s="30"/>
      <c r="E144" s="30"/>
      <c r="F144" s="30"/>
      <c r="G144" s="30"/>
      <c r="H144" s="30"/>
    </row>
    <row r="145" spans="1:8" ht="15" customHeight="1" x14ac:dyDescent="0.3">
      <c r="A145" s="6"/>
      <c r="B145" s="6"/>
      <c r="C145" s="30"/>
      <c r="D145" s="30"/>
      <c r="E145" s="30"/>
      <c r="F145" s="30"/>
      <c r="G145" s="30"/>
      <c r="H145" s="30"/>
    </row>
    <row r="146" spans="1:8" ht="15" customHeight="1" x14ac:dyDescent="0.3">
      <c r="A146" s="6"/>
      <c r="B146" s="6"/>
      <c r="C146" s="30"/>
      <c r="D146" s="30"/>
      <c r="E146" s="30"/>
      <c r="F146" s="30"/>
      <c r="G146" s="30"/>
      <c r="H146" s="30"/>
    </row>
    <row r="147" spans="1:8" ht="15" customHeight="1" x14ac:dyDescent="0.3">
      <c r="A147" s="6"/>
      <c r="B147" s="6"/>
      <c r="C147" s="30"/>
      <c r="D147" s="30"/>
      <c r="E147" s="30"/>
      <c r="F147" s="30"/>
      <c r="G147" s="30"/>
      <c r="H147" s="30"/>
    </row>
    <row r="148" spans="1:8" ht="15" customHeight="1" x14ac:dyDescent="0.3">
      <c r="A148" s="6"/>
      <c r="B148" s="6"/>
      <c r="C148" s="30"/>
      <c r="D148" s="30"/>
      <c r="E148" s="30"/>
      <c r="F148" s="30"/>
      <c r="G148" s="30"/>
      <c r="H148" s="30"/>
    </row>
    <row r="149" spans="1:8" ht="15" customHeight="1" x14ac:dyDescent="0.3">
      <c r="A149" s="6"/>
      <c r="B149" s="6"/>
      <c r="C149" s="30"/>
      <c r="D149" s="30"/>
      <c r="E149" s="30"/>
      <c r="F149" s="30"/>
      <c r="G149" s="30"/>
      <c r="H149" s="30"/>
    </row>
    <row r="150" spans="1:8" ht="15" customHeight="1" x14ac:dyDescent="0.3">
      <c r="A150" s="6"/>
      <c r="B150" s="6"/>
      <c r="C150" s="30"/>
      <c r="D150" s="30"/>
      <c r="E150" s="30"/>
      <c r="F150" s="30"/>
      <c r="G150" s="30"/>
      <c r="H150" s="30"/>
    </row>
    <row r="151" spans="1:8" ht="15" customHeight="1" x14ac:dyDescent="0.3">
      <c r="A151" s="6"/>
      <c r="B151" s="6"/>
      <c r="C151" s="30"/>
      <c r="D151" s="30"/>
      <c r="E151" s="30"/>
      <c r="F151" s="30"/>
      <c r="G151" s="30"/>
      <c r="H151" s="30"/>
    </row>
    <row r="152" spans="1:8" ht="15" customHeight="1" x14ac:dyDescent="0.3">
      <c r="A152" s="6"/>
      <c r="B152" s="6"/>
      <c r="C152" s="30"/>
      <c r="D152" s="30"/>
      <c r="E152" s="30"/>
      <c r="F152" s="30"/>
      <c r="G152" s="30"/>
      <c r="H152" s="30"/>
    </row>
    <row r="153" spans="1:8" ht="15" customHeight="1" x14ac:dyDescent="0.3">
      <c r="A153" s="6"/>
      <c r="B153" s="6"/>
      <c r="C153" s="30"/>
      <c r="D153" s="30"/>
      <c r="E153" s="30"/>
      <c r="F153" s="30"/>
      <c r="G153" s="30"/>
      <c r="H153" s="30"/>
    </row>
    <row r="154" spans="1:8" ht="15" customHeight="1" x14ac:dyDescent="0.3">
      <c r="A154" s="6"/>
      <c r="B154" s="6"/>
      <c r="C154" s="30"/>
      <c r="D154" s="30"/>
      <c r="E154" s="30"/>
      <c r="F154" s="30"/>
      <c r="G154" s="30"/>
      <c r="H154" s="30"/>
    </row>
    <row r="155" spans="1:8" ht="15" customHeight="1" x14ac:dyDescent="0.3">
      <c r="A155" s="6"/>
      <c r="B155" s="6"/>
      <c r="C155" s="30"/>
      <c r="D155" s="30"/>
      <c r="E155" s="30"/>
      <c r="F155" s="30"/>
      <c r="G155" s="30"/>
      <c r="H155" s="30"/>
    </row>
    <row r="156" spans="1:8" ht="15" customHeight="1" x14ac:dyDescent="0.3">
      <c r="A156" s="6"/>
      <c r="B156" s="6"/>
      <c r="C156" s="30"/>
      <c r="D156" s="30"/>
      <c r="E156" s="30"/>
      <c r="F156" s="30"/>
      <c r="G156" s="30"/>
      <c r="H156" s="30"/>
    </row>
    <row r="157" spans="1:8" ht="15" customHeight="1" x14ac:dyDescent="0.3">
      <c r="A157" s="6"/>
      <c r="B157" s="6"/>
      <c r="C157" s="30"/>
      <c r="D157" s="30"/>
      <c r="E157" s="30"/>
      <c r="F157" s="30"/>
      <c r="G157" s="30"/>
      <c r="H157" s="30"/>
    </row>
    <row r="158" spans="1:8" ht="15" customHeight="1" x14ac:dyDescent="0.3">
      <c r="A158" s="6"/>
      <c r="B158" s="6"/>
      <c r="C158" s="30"/>
      <c r="D158" s="30"/>
      <c r="E158" s="30"/>
      <c r="F158" s="30"/>
      <c r="G158" s="30"/>
      <c r="H158" s="30"/>
    </row>
    <row r="159" spans="1:8" ht="15" customHeight="1" x14ac:dyDescent="0.3">
      <c r="A159" s="6"/>
      <c r="B159" s="6"/>
      <c r="C159" s="30"/>
      <c r="D159" s="30"/>
      <c r="E159" s="30"/>
      <c r="F159" s="30"/>
      <c r="G159" s="30"/>
      <c r="H159" s="30"/>
    </row>
    <row r="160" spans="1:8" ht="15" customHeight="1" x14ac:dyDescent="0.3">
      <c r="A160" s="6"/>
      <c r="B160" s="6"/>
      <c r="C160" s="30"/>
      <c r="D160" s="30"/>
      <c r="E160" s="30"/>
      <c r="F160" s="30"/>
      <c r="G160" s="30"/>
      <c r="H160" s="30"/>
    </row>
    <row r="161" spans="1:8" ht="15" customHeight="1" x14ac:dyDescent="0.3">
      <c r="A161" s="6"/>
      <c r="B161" s="6"/>
      <c r="C161" s="30"/>
      <c r="D161" s="30"/>
      <c r="E161" s="30"/>
      <c r="F161" s="30"/>
      <c r="G161" s="30"/>
      <c r="H161" s="30"/>
    </row>
    <row r="162" spans="1:8" ht="15" customHeight="1" x14ac:dyDescent="0.3">
      <c r="A162" s="6"/>
      <c r="B162" s="6"/>
      <c r="C162" s="30"/>
      <c r="D162" s="30"/>
      <c r="E162" s="30"/>
      <c r="F162" s="30"/>
      <c r="G162" s="30"/>
      <c r="H162" s="30"/>
    </row>
    <row r="163" spans="1:8" ht="15" customHeight="1" x14ac:dyDescent="0.3">
      <c r="A163" s="6"/>
      <c r="B163" s="6"/>
      <c r="C163" s="30"/>
      <c r="D163" s="30"/>
      <c r="E163" s="30"/>
      <c r="F163" s="30"/>
      <c r="G163" s="30"/>
      <c r="H163" s="30"/>
    </row>
    <row r="164" spans="1:8" ht="15" customHeight="1" x14ac:dyDescent="0.3">
      <c r="A164" s="6"/>
      <c r="B164" s="6"/>
      <c r="C164" s="30"/>
      <c r="D164" s="30"/>
      <c r="E164" s="30"/>
      <c r="F164" s="30"/>
      <c r="G164" s="30"/>
      <c r="H164" s="30"/>
    </row>
    <row r="165" spans="1:8" ht="15" customHeight="1" x14ac:dyDescent="0.3">
      <c r="A165" s="6"/>
      <c r="B165" s="6"/>
      <c r="C165" s="30"/>
      <c r="D165" s="30"/>
      <c r="E165" s="30"/>
      <c r="F165" s="30"/>
      <c r="G165" s="30"/>
      <c r="H165" s="30"/>
    </row>
    <row r="166" spans="1:8" ht="15" customHeight="1" x14ac:dyDescent="0.3">
      <c r="A166" s="6"/>
      <c r="B166" s="6"/>
      <c r="C166" s="30"/>
      <c r="D166" s="30"/>
      <c r="E166" s="30"/>
      <c r="F166" s="30"/>
      <c r="G166" s="30"/>
      <c r="H166" s="30"/>
    </row>
    <row r="167" spans="1:8" ht="15" customHeight="1" x14ac:dyDescent="0.3">
      <c r="A167" s="6"/>
      <c r="C167" s="107"/>
      <c r="D167" s="107"/>
      <c r="E167" s="107"/>
      <c r="F167" s="107"/>
      <c r="G167" s="107"/>
      <c r="H167" s="107"/>
    </row>
    <row r="168" spans="1:8" ht="15" customHeight="1" x14ac:dyDescent="0.3">
      <c r="A168" s="6"/>
      <c r="C168" s="107"/>
      <c r="D168" s="107"/>
      <c r="E168" s="107"/>
      <c r="F168" s="107"/>
      <c r="G168" s="107"/>
      <c r="H168" s="107"/>
    </row>
    <row r="169" spans="1:8" ht="15" customHeight="1" x14ac:dyDescent="0.3">
      <c r="A169" s="6"/>
      <c r="C169" s="107"/>
      <c r="D169" s="107"/>
      <c r="E169" s="107"/>
      <c r="F169" s="107"/>
      <c r="G169" s="107"/>
      <c r="H169" s="107"/>
    </row>
    <row r="170" spans="1:8" ht="15" customHeight="1" x14ac:dyDescent="0.3">
      <c r="A170" s="6"/>
      <c r="C170" s="107"/>
      <c r="D170" s="107"/>
      <c r="E170" s="107"/>
      <c r="F170" s="107"/>
      <c r="G170" s="107"/>
      <c r="H170" s="107"/>
    </row>
    <row r="171" spans="1:8" ht="15" customHeight="1" x14ac:dyDescent="0.3">
      <c r="A171" s="6"/>
      <c r="C171" s="107"/>
      <c r="D171" s="107"/>
      <c r="E171" s="107"/>
      <c r="F171" s="107"/>
      <c r="G171" s="107"/>
      <c r="H171" s="107"/>
    </row>
    <row r="172" spans="1:8" ht="15" customHeight="1" x14ac:dyDescent="0.3">
      <c r="A172" s="6"/>
      <c r="C172" s="107"/>
      <c r="D172" s="107"/>
      <c r="E172" s="107"/>
      <c r="F172" s="107"/>
      <c r="G172" s="107"/>
      <c r="H172" s="107"/>
    </row>
    <row r="173" spans="1:8" ht="15" customHeight="1" x14ac:dyDescent="0.3">
      <c r="A173" s="6"/>
      <c r="C173" s="107"/>
      <c r="D173" s="107"/>
      <c r="E173" s="107"/>
      <c r="F173" s="107"/>
      <c r="G173" s="107"/>
      <c r="H173" s="107"/>
    </row>
    <row r="174" spans="1:8" ht="15" customHeight="1" x14ac:dyDescent="0.3">
      <c r="A174" s="6"/>
      <c r="C174" s="107"/>
      <c r="D174" s="107"/>
      <c r="E174" s="107"/>
      <c r="F174" s="107"/>
      <c r="G174" s="107"/>
      <c r="H174" s="107"/>
    </row>
    <row r="175" spans="1:8" ht="15" customHeight="1" x14ac:dyDescent="0.3">
      <c r="A175" s="6"/>
      <c r="C175" s="107"/>
      <c r="D175" s="107"/>
      <c r="E175" s="107"/>
      <c r="F175" s="107"/>
      <c r="G175" s="107"/>
      <c r="H175" s="107"/>
    </row>
    <row r="176" spans="1:8" ht="15" customHeight="1" x14ac:dyDescent="0.3">
      <c r="A176" s="6"/>
      <c r="C176" s="107"/>
      <c r="D176" s="107"/>
      <c r="E176" s="107"/>
      <c r="F176" s="107"/>
      <c r="G176" s="107"/>
      <c r="H176" s="107"/>
    </row>
    <row r="177" spans="1:8" ht="15" customHeight="1" x14ac:dyDescent="0.3">
      <c r="A177" s="6"/>
      <c r="C177" s="107"/>
      <c r="D177" s="107"/>
      <c r="E177" s="107"/>
      <c r="F177" s="107"/>
      <c r="G177" s="107"/>
      <c r="H177" s="107"/>
    </row>
    <row r="178" spans="1:8" ht="15" customHeight="1" x14ac:dyDescent="0.3">
      <c r="A178" s="6"/>
      <c r="C178" s="107"/>
      <c r="D178" s="107"/>
      <c r="E178" s="107"/>
      <c r="F178" s="107"/>
      <c r="G178" s="107"/>
      <c r="H178" s="107"/>
    </row>
    <row r="179" spans="1:8" ht="15" customHeight="1" x14ac:dyDescent="0.3">
      <c r="A179" s="6"/>
      <c r="C179" s="107"/>
      <c r="D179" s="107"/>
      <c r="E179" s="107"/>
      <c r="F179" s="107"/>
      <c r="G179" s="107"/>
      <c r="H179" s="107"/>
    </row>
    <row r="180" spans="1:8" ht="15" customHeight="1" x14ac:dyDescent="0.3">
      <c r="A180" s="6"/>
      <c r="C180" s="107"/>
      <c r="D180" s="107"/>
      <c r="E180" s="107"/>
      <c r="F180" s="107"/>
      <c r="G180" s="107"/>
      <c r="H180" s="107"/>
    </row>
    <row r="181" spans="1:8" ht="15" customHeight="1" x14ac:dyDescent="0.3">
      <c r="A181" s="6"/>
      <c r="C181" s="107"/>
      <c r="D181" s="107"/>
      <c r="E181" s="107"/>
      <c r="F181" s="107"/>
      <c r="G181" s="107"/>
      <c r="H181" s="107"/>
    </row>
    <row r="182" spans="1:8" ht="15" customHeight="1" x14ac:dyDescent="0.3">
      <c r="A182" s="6"/>
      <c r="C182" s="107"/>
      <c r="D182" s="107"/>
      <c r="E182" s="107"/>
      <c r="F182" s="107"/>
      <c r="G182" s="107"/>
      <c r="H182" s="107"/>
    </row>
    <row r="183" spans="1:8" ht="15" customHeight="1" x14ac:dyDescent="0.3">
      <c r="A183" s="6"/>
      <c r="C183" s="107"/>
      <c r="D183" s="107"/>
      <c r="E183" s="107"/>
      <c r="F183" s="107"/>
      <c r="G183" s="107"/>
      <c r="H183" s="107"/>
    </row>
    <row r="184" spans="1:8" ht="15" customHeight="1" x14ac:dyDescent="0.3">
      <c r="A184" s="6"/>
      <c r="C184" s="107"/>
      <c r="D184" s="107"/>
      <c r="E184" s="107"/>
      <c r="F184" s="107"/>
      <c r="G184" s="107"/>
      <c r="H184" s="107"/>
    </row>
    <row r="185" spans="1:8" ht="15" customHeight="1" x14ac:dyDescent="0.3">
      <c r="A185" s="6"/>
      <c r="C185" s="107"/>
      <c r="D185" s="107"/>
      <c r="E185" s="107"/>
      <c r="F185" s="107"/>
      <c r="G185" s="107"/>
      <c r="H185" s="107"/>
    </row>
    <row r="186" spans="1:8" ht="15" customHeight="1" x14ac:dyDescent="0.3">
      <c r="A186" s="6"/>
      <c r="C186" s="107"/>
      <c r="D186" s="107"/>
      <c r="E186" s="107"/>
      <c r="F186" s="107"/>
      <c r="G186" s="107"/>
      <c r="H186" s="107"/>
    </row>
    <row r="187" spans="1:8" ht="15" customHeight="1" x14ac:dyDescent="0.3">
      <c r="A187" s="6"/>
      <c r="C187" s="107"/>
      <c r="D187" s="107"/>
      <c r="E187" s="107"/>
      <c r="F187" s="107"/>
      <c r="G187" s="107"/>
      <c r="H187" s="107"/>
    </row>
    <row r="188" spans="1:8" ht="15" customHeight="1" x14ac:dyDescent="0.3">
      <c r="A188" s="6"/>
      <c r="C188" s="107"/>
      <c r="D188" s="107"/>
      <c r="E188" s="107"/>
      <c r="F188" s="107"/>
      <c r="G188" s="107"/>
      <c r="H188" s="107"/>
    </row>
    <row r="189" spans="1:8" ht="15" customHeight="1" x14ac:dyDescent="0.3">
      <c r="A189" s="6"/>
      <c r="C189" s="107"/>
      <c r="D189" s="107"/>
      <c r="E189" s="107"/>
      <c r="F189" s="107"/>
      <c r="G189" s="107"/>
      <c r="H189" s="107"/>
    </row>
    <row r="190" spans="1:8" ht="15" customHeight="1" x14ac:dyDescent="0.3">
      <c r="A190" s="6"/>
      <c r="C190" s="107"/>
      <c r="D190" s="107"/>
      <c r="E190" s="107"/>
      <c r="F190" s="107"/>
      <c r="G190" s="107"/>
      <c r="H190" s="107"/>
    </row>
    <row r="191" spans="1:8" ht="15" customHeight="1" x14ac:dyDescent="0.3">
      <c r="A191" s="6"/>
      <c r="C191" s="108"/>
      <c r="D191" s="108"/>
      <c r="E191" s="108"/>
      <c r="F191" s="107"/>
      <c r="G191" s="107"/>
      <c r="H191" s="107"/>
    </row>
    <row r="192" spans="1:8" ht="15" customHeight="1" x14ac:dyDescent="0.3">
      <c r="A192" s="6"/>
      <c r="C192" s="108"/>
      <c r="D192" s="108"/>
      <c r="E192" s="108"/>
      <c r="F192" s="107"/>
      <c r="G192" s="107"/>
      <c r="H192" s="107"/>
    </row>
    <row r="193" spans="1:8" ht="15" customHeight="1" x14ac:dyDescent="0.3">
      <c r="A193" s="6"/>
      <c r="C193" s="108"/>
      <c r="D193" s="108"/>
      <c r="E193" s="108"/>
      <c r="F193" s="107"/>
      <c r="G193" s="107"/>
      <c r="H193" s="107"/>
    </row>
    <row r="194" spans="1:8" ht="15" customHeight="1" x14ac:dyDescent="0.3">
      <c r="A194" s="6"/>
      <c r="C194" s="108"/>
      <c r="D194" s="108"/>
      <c r="E194" s="108"/>
      <c r="F194" s="107"/>
      <c r="G194" s="107"/>
      <c r="H194" s="107"/>
    </row>
    <row r="195" spans="1:8" ht="15" customHeight="1" x14ac:dyDescent="0.3">
      <c r="A195" s="6"/>
      <c r="C195" s="108"/>
      <c r="D195" s="108"/>
      <c r="E195" s="108"/>
      <c r="F195" s="107"/>
      <c r="G195" s="107"/>
      <c r="H195" s="107"/>
    </row>
    <row r="196" spans="1:8" ht="15" customHeight="1" x14ac:dyDescent="0.3">
      <c r="A196" s="6"/>
      <c r="C196" s="108"/>
      <c r="D196" s="108"/>
      <c r="E196" s="108"/>
      <c r="F196" s="107"/>
      <c r="G196" s="107"/>
      <c r="H196" s="107"/>
    </row>
    <row r="197" spans="1:8" ht="15" customHeight="1" x14ac:dyDescent="0.3">
      <c r="A197" s="6"/>
      <c r="C197" s="108"/>
      <c r="D197" s="108"/>
      <c r="E197" s="108"/>
      <c r="F197" s="107"/>
      <c r="G197" s="107"/>
      <c r="H197" s="107"/>
    </row>
    <row r="198" spans="1:8" ht="15" customHeight="1" x14ac:dyDescent="0.3">
      <c r="A198" s="6"/>
      <c r="C198" s="108"/>
      <c r="D198" s="108"/>
      <c r="E198" s="108"/>
      <c r="F198" s="107"/>
      <c r="G198" s="107"/>
      <c r="H198" s="107"/>
    </row>
    <row r="199" spans="1:8" ht="15" customHeight="1" x14ac:dyDescent="0.3">
      <c r="A199" s="6"/>
      <c r="C199" s="108"/>
      <c r="D199" s="108"/>
      <c r="E199" s="108"/>
      <c r="F199" s="107"/>
      <c r="G199" s="107"/>
      <c r="H199" s="107"/>
    </row>
    <row r="200" spans="1:8" ht="15" customHeight="1" x14ac:dyDescent="0.3">
      <c r="A200" s="6"/>
      <c r="C200" s="108"/>
      <c r="D200" s="108"/>
      <c r="E200" s="108"/>
      <c r="F200" s="107"/>
      <c r="G200" s="107"/>
      <c r="H200" s="107"/>
    </row>
    <row r="201" spans="1:8" ht="15" customHeight="1" x14ac:dyDescent="0.3">
      <c r="A201" s="6"/>
      <c r="C201" s="108"/>
      <c r="D201" s="108"/>
      <c r="E201" s="108"/>
      <c r="F201" s="107"/>
      <c r="G201" s="107"/>
      <c r="H201" s="107"/>
    </row>
    <row r="202" spans="1:8" ht="15" customHeight="1" x14ac:dyDescent="0.3">
      <c r="A202" s="6"/>
      <c r="C202" s="108"/>
      <c r="D202" s="108"/>
      <c r="E202" s="108"/>
      <c r="F202" s="107"/>
      <c r="G202" s="107"/>
      <c r="H202" s="107"/>
    </row>
    <row r="203" spans="1:8" ht="15" customHeight="1" x14ac:dyDescent="0.3">
      <c r="A203" s="6"/>
      <c r="C203" s="108"/>
      <c r="D203" s="108"/>
      <c r="E203" s="108"/>
      <c r="F203" s="107"/>
      <c r="G203" s="107"/>
      <c r="H203" s="107"/>
    </row>
    <row r="204" spans="1:8" ht="15" customHeight="1" x14ac:dyDescent="0.3">
      <c r="A204" s="6"/>
      <c r="C204" s="108"/>
      <c r="D204" s="108"/>
      <c r="E204" s="108"/>
      <c r="F204" s="107"/>
      <c r="G204" s="107"/>
      <c r="H204" s="107"/>
    </row>
    <row r="205" spans="1:8" ht="15" customHeight="1" x14ac:dyDescent="0.3">
      <c r="A205" s="6"/>
      <c r="C205" s="108"/>
      <c r="D205" s="108"/>
      <c r="E205" s="108"/>
      <c r="F205" s="107"/>
      <c r="G205" s="107"/>
      <c r="H205" s="107"/>
    </row>
    <row r="206" spans="1:8" ht="15" customHeight="1" x14ac:dyDescent="0.3">
      <c r="A206" s="6"/>
      <c r="C206" s="108"/>
      <c r="D206" s="108"/>
      <c r="E206" s="108"/>
      <c r="F206" s="107"/>
      <c r="G206" s="107"/>
      <c r="H206" s="107"/>
    </row>
    <row r="207" spans="1:8" ht="15" customHeight="1" x14ac:dyDescent="0.3">
      <c r="A207" s="6"/>
      <c r="C207" s="108"/>
      <c r="D207" s="108"/>
      <c r="E207" s="108"/>
      <c r="F207" s="107"/>
      <c r="G207" s="107"/>
      <c r="H207" s="107"/>
    </row>
    <row r="208" spans="1:8" ht="15" customHeight="1" x14ac:dyDescent="0.3">
      <c r="A208" s="6"/>
      <c r="C208" s="108"/>
      <c r="D208" s="108"/>
      <c r="E208" s="108"/>
      <c r="F208" s="107"/>
      <c r="G208" s="107"/>
      <c r="H208" s="107"/>
    </row>
    <row r="209" spans="1:8" ht="15" customHeight="1" x14ac:dyDescent="0.3">
      <c r="A209" s="6"/>
      <c r="C209" s="108"/>
      <c r="D209" s="108"/>
      <c r="E209" s="108"/>
      <c r="F209" s="107"/>
      <c r="G209" s="107"/>
      <c r="H209" s="107"/>
    </row>
    <row r="210" spans="1:8" ht="15" customHeight="1" x14ac:dyDescent="0.3">
      <c r="A210" s="6"/>
      <c r="C210" s="108"/>
      <c r="D210" s="108"/>
      <c r="E210" s="108"/>
      <c r="F210" s="107"/>
      <c r="G210" s="107"/>
      <c r="H210" s="107"/>
    </row>
    <row r="211" spans="1:8" ht="15" customHeight="1" x14ac:dyDescent="0.3">
      <c r="A211" s="6"/>
      <c r="C211" s="108"/>
      <c r="D211" s="108"/>
      <c r="E211" s="108"/>
      <c r="F211" s="107"/>
      <c r="G211" s="107"/>
      <c r="H211" s="107"/>
    </row>
    <row r="212" spans="1:8" ht="15" customHeight="1" x14ac:dyDescent="0.3">
      <c r="A212" s="6"/>
      <c r="C212" s="108"/>
      <c r="D212" s="108"/>
      <c r="E212" s="108"/>
      <c r="F212" s="107"/>
      <c r="G212" s="107"/>
      <c r="H212" s="107"/>
    </row>
    <row r="213" spans="1:8" ht="15" customHeight="1" x14ac:dyDescent="0.3">
      <c r="A213" s="6"/>
      <c r="C213" s="108"/>
      <c r="D213" s="108"/>
      <c r="E213" s="108"/>
      <c r="F213" s="107"/>
      <c r="G213" s="107"/>
      <c r="H213" s="107"/>
    </row>
    <row r="214" spans="1:8" ht="15" customHeight="1" x14ac:dyDescent="0.3">
      <c r="A214" s="6"/>
      <c r="C214" s="108"/>
      <c r="D214" s="108"/>
      <c r="E214" s="108"/>
      <c r="F214" s="107"/>
      <c r="G214" s="107"/>
      <c r="H214" s="107"/>
    </row>
    <row r="215" spans="1:8" ht="15" customHeight="1" x14ac:dyDescent="0.3">
      <c r="A215" s="6"/>
      <c r="C215" s="108"/>
      <c r="D215" s="108"/>
      <c r="E215" s="108"/>
      <c r="F215" s="107"/>
      <c r="G215" s="107"/>
      <c r="H215" s="107"/>
    </row>
    <row r="216" spans="1:8" ht="15" customHeight="1" x14ac:dyDescent="0.3">
      <c r="A216" s="6"/>
      <c r="C216" s="108"/>
      <c r="D216" s="108"/>
      <c r="E216" s="108"/>
      <c r="F216" s="107"/>
      <c r="G216" s="107"/>
      <c r="H216" s="107"/>
    </row>
    <row r="217" spans="1:8" ht="15" customHeight="1" x14ac:dyDescent="0.3">
      <c r="A217" s="6"/>
      <c r="C217" s="108"/>
      <c r="D217" s="108"/>
      <c r="E217" s="108"/>
      <c r="F217" s="107"/>
      <c r="G217" s="107"/>
      <c r="H217" s="107"/>
    </row>
    <row r="218" spans="1:8" ht="15" customHeight="1" x14ac:dyDescent="0.3">
      <c r="A218" s="6"/>
      <c r="C218" s="108"/>
      <c r="D218" s="108"/>
      <c r="E218" s="108"/>
      <c r="F218" s="107"/>
      <c r="G218" s="107"/>
      <c r="H218" s="107"/>
    </row>
    <row r="219" spans="1:8" ht="15" customHeight="1" x14ac:dyDescent="0.3">
      <c r="A219" s="6"/>
      <c r="C219" s="108"/>
      <c r="D219" s="108"/>
      <c r="E219" s="108"/>
      <c r="F219" s="107"/>
      <c r="G219" s="107"/>
      <c r="H219" s="107"/>
    </row>
    <row r="220" spans="1:8" ht="15" customHeight="1" x14ac:dyDescent="0.3">
      <c r="A220" s="6"/>
      <c r="C220" s="108"/>
      <c r="D220" s="108"/>
      <c r="E220" s="108"/>
      <c r="F220" s="107"/>
      <c r="G220" s="107"/>
      <c r="H220" s="107"/>
    </row>
    <row r="221" spans="1:8" ht="15" customHeight="1" x14ac:dyDescent="0.3">
      <c r="A221" s="6"/>
      <c r="C221" s="108"/>
      <c r="D221" s="108"/>
      <c r="E221" s="108"/>
      <c r="F221" s="107"/>
      <c r="G221" s="107"/>
      <c r="H221" s="107"/>
    </row>
    <row r="222" spans="1:8" ht="15" customHeight="1" x14ac:dyDescent="0.3">
      <c r="A222" s="6"/>
      <c r="C222" s="108"/>
      <c r="D222" s="108"/>
      <c r="E222" s="108"/>
      <c r="F222" s="107"/>
      <c r="G222" s="107"/>
      <c r="H222" s="107"/>
    </row>
    <row r="223" spans="1:8" ht="15" customHeight="1" x14ac:dyDescent="0.3">
      <c r="A223" s="6"/>
      <c r="C223" s="108"/>
      <c r="D223" s="108"/>
      <c r="E223" s="108"/>
      <c r="F223" s="107"/>
      <c r="G223" s="107"/>
      <c r="H223" s="107"/>
    </row>
    <row r="224" spans="1:8" ht="15" customHeight="1" x14ac:dyDescent="0.3">
      <c r="A224" s="6"/>
      <c r="C224" s="108"/>
      <c r="D224" s="108"/>
      <c r="E224" s="108"/>
      <c r="F224" s="107"/>
      <c r="G224" s="107"/>
      <c r="H224" s="107"/>
    </row>
    <row r="225" spans="1:8" ht="15" customHeight="1" x14ac:dyDescent="0.3">
      <c r="A225" s="6"/>
      <c r="C225" s="108"/>
      <c r="D225" s="108"/>
      <c r="E225" s="108"/>
      <c r="F225" s="107"/>
      <c r="G225" s="107"/>
      <c r="H225" s="107"/>
    </row>
    <row r="226" spans="1:8" ht="15" customHeight="1" x14ac:dyDescent="0.3">
      <c r="A226" s="6"/>
      <c r="C226" s="108"/>
      <c r="D226" s="108"/>
      <c r="E226" s="108"/>
      <c r="F226" s="107"/>
      <c r="G226" s="107"/>
      <c r="H226" s="107"/>
    </row>
    <row r="227" spans="1:8" ht="15" customHeight="1" x14ac:dyDescent="0.3">
      <c r="A227" s="6"/>
      <c r="C227" s="108"/>
      <c r="D227" s="108"/>
      <c r="E227" s="108"/>
      <c r="F227" s="107"/>
      <c r="G227" s="107"/>
      <c r="H227" s="107"/>
    </row>
    <row r="228" spans="1:8" ht="15" customHeight="1" x14ac:dyDescent="0.3">
      <c r="A228" s="6"/>
      <c r="C228" s="108"/>
      <c r="D228" s="108"/>
      <c r="E228" s="108"/>
      <c r="F228" s="107"/>
      <c r="G228" s="107"/>
      <c r="H228" s="107"/>
    </row>
    <row r="229" spans="1:8" ht="15" customHeight="1" x14ac:dyDescent="0.3">
      <c r="A229" s="6"/>
      <c r="C229" s="108"/>
      <c r="D229" s="108"/>
      <c r="E229" s="108"/>
      <c r="F229" s="107"/>
      <c r="G229" s="107"/>
      <c r="H229" s="107"/>
    </row>
    <row r="230" spans="1:8" ht="15" customHeight="1" x14ac:dyDescent="0.3">
      <c r="A230" s="6"/>
      <c r="C230" s="108"/>
      <c r="D230" s="108"/>
      <c r="E230" s="108"/>
      <c r="F230" s="107"/>
      <c r="G230" s="107"/>
      <c r="H230" s="107"/>
    </row>
    <row r="231" spans="1:8" ht="15" customHeight="1" x14ac:dyDescent="0.3">
      <c r="A231" s="6"/>
      <c r="C231" s="108"/>
      <c r="D231" s="108"/>
      <c r="E231" s="108"/>
      <c r="F231" s="107"/>
      <c r="G231" s="107"/>
      <c r="H231" s="107"/>
    </row>
    <row r="232" spans="1:8" ht="15" customHeight="1" x14ac:dyDescent="0.3">
      <c r="A232" s="6"/>
      <c r="C232" s="108"/>
      <c r="D232" s="108"/>
      <c r="E232" s="108"/>
      <c r="F232" s="107"/>
      <c r="G232" s="107"/>
      <c r="H232" s="107"/>
    </row>
    <row r="233" spans="1:8" ht="15" customHeight="1" x14ac:dyDescent="0.3">
      <c r="A233" s="6"/>
      <c r="C233" s="108"/>
      <c r="D233" s="108"/>
      <c r="E233" s="108"/>
      <c r="F233" s="107"/>
      <c r="G233" s="107"/>
      <c r="H233" s="107"/>
    </row>
    <row r="234" spans="1:8" ht="15" customHeight="1" x14ac:dyDescent="0.3">
      <c r="A234" s="6"/>
      <c r="C234" s="108"/>
      <c r="D234" s="108"/>
      <c r="E234" s="108"/>
      <c r="F234" s="107"/>
      <c r="G234" s="107"/>
      <c r="H234" s="107"/>
    </row>
    <row r="235" spans="1:8" ht="15" customHeight="1" x14ac:dyDescent="0.3">
      <c r="A235" s="6"/>
      <c r="C235" s="108"/>
      <c r="D235" s="108"/>
      <c r="E235" s="108"/>
      <c r="F235" s="107"/>
      <c r="G235" s="107"/>
      <c r="H235" s="107"/>
    </row>
    <row r="236" spans="1:8" ht="15" customHeight="1" x14ac:dyDescent="0.3">
      <c r="A236" s="6"/>
      <c r="C236" s="108"/>
      <c r="D236" s="108"/>
      <c r="E236" s="108"/>
      <c r="F236" s="107"/>
      <c r="G236" s="107"/>
      <c r="H236" s="107"/>
    </row>
    <row r="237" spans="1:8" ht="15" customHeight="1" x14ac:dyDescent="0.3">
      <c r="A237" s="6"/>
      <c r="C237" s="108"/>
      <c r="D237" s="108"/>
      <c r="E237" s="108"/>
      <c r="F237" s="107"/>
      <c r="G237" s="107"/>
      <c r="H237" s="107"/>
    </row>
    <row r="238" spans="1:8" x14ac:dyDescent="0.3">
      <c r="A238" s="6"/>
      <c r="C238" s="108"/>
      <c r="D238" s="108"/>
      <c r="E238" s="108"/>
      <c r="F238" s="107"/>
      <c r="G238" s="107"/>
      <c r="H238" s="107"/>
    </row>
    <row r="239" spans="1:8" x14ac:dyDescent="0.3">
      <c r="A239" s="6"/>
      <c r="C239" s="108"/>
      <c r="D239" s="108"/>
      <c r="E239" s="108"/>
      <c r="F239" s="107"/>
      <c r="G239" s="107"/>
      <c r="H239" s="107"/>
    </row>
    <row r="240" spans="1:8" x14ac:dyDescent="0.3">
      <c r="A240" s="6"/>
      <c r="C240" s="108"/>
      <c r="D240" s="108"/>
      <c r="E240" s="108"/>
      <c r="F240" s="107"/>
      <c r="G240" s="107"/>
      <c r="H240" s="107"/>
    </row>
    <row r="241" spans="1:8" x14ac:dyDescent="0.3">
      <c r="A241" s="6"/>
      <c r="C241" s="108"/>
      <c r="D241" s="108"/>
      <c r="E241" s="108"/>
      <c r="F241" s="107"/>
      <c r="G241" s="107"/>
      <c r="H241" s="107"/>
    </row>
    <row r="242" spans="1:8" x14ac:dyDescent="0.3">
      <c r="A242" s="6"/>
      <c r="C242" s="108"/>
      <c r="D242" s="108"/>
      <c r="E242" s="108"/>
      <c r="F242" s="107"/>
      <c r="G242" s="107"/>
      <c r="H242" s="107"/>
    </row>
    <row r="243" spans="1:8" x14ac:dyDescent="0.3">
      <c r="A243" s="6"/>
      <c r="C243" s="108"/>
      <c r="D243" s="108"/>
      <c r="E243" s="108"/>
      <c r="F243" s="107"/>
      <c r="G243" s="107"/>
      <c r="H243" s="107"/>
    </row>
    <row r="244" spans="1:8" x14ac:dyDescent="0.3">
      <c r="A244" s="6"/>
      <c r="C244" s="108"/>
      <c r="D244" s="108"/>
      <c r="E244" s="108"/>
      <c r="F244" s="107"/>
      <c r="G244" s="107"/>
      <c r="H244" s="107"/>
    </row>
    <row r="245" spans="1:8" x14ac:dyDescent="0.3">
      <c r="A245" s="6"/>
      <c r="C245" s="108"/>
      <c r="D245" s="108"/>
      <c r="E245" s="108"/>
      <c r="F245" s="107"/>
      <c r="G245" s="107"/>
      <c r="H245" s="107"/>
    </row>
    <row r="246" spans="1:8" x14ac:dyDescent="0.3">
      <c r="A246" s="6"/>
      <c r="C246" s="108"/>
      <c r="D246" s="108"/>
      <c r="E246" s="108"/>
      <c r="F246" s="107"/>
      <c r="G246" s="107"/>
      <c r="H246" s="107"/>
    </row>
    <row r="247" spans="1:8" x14ac:dyDescent="0.3">
      <c r="A247" s="6"/>
      <c r="C247" s="108"/>
      <c r="D247" s="108"/>
      <c r="E247" s="108"/>
      <c r="F247" s="107"/>
      <c r="G247" s="107"/>
      <c r="H247" s="107"/>
    </row>
    <row r="248" spans="1:8" x14ac:dyDescent="0.3">
      <c r="A248" s="6"/>
      <c r="C248" s="108"/>
      <c r="D248" s="108"/>
      <c r="E248" s="108"/>
      <c r="F248" s="107"/>
      <c r="G248" s="107"/>
      <c r="H248" s="107"/>
    </row>
    <row r="249" spans="1:8" x14ac:dyDescent="0.3">
      <c r="A249" s="6"/>
      <c r="C249" s="108"/>
      <c r="D249" s="108"/>
      <c r="E249" s="108"/>
      <c r="F249" s="107"/>
      <c r="G249" s="107"/>
      <c r="H249" s="107"/>
    </row>
    <row r="250" spans="1:8" x14ac:dyDescent="0.3">
      <c r="A250" s="6"/>
      <c r="C250" s="108"/>
      <c r="D250" s="108"/>
      <c r="E250" s="108"/>
      <c r="F250" s="107"/>
      <c r="G250" s="107"/>
      <c r="H250" s="107"/>
    </row>
    <row r="251" spans="1:8" x14ac:dyDescent="0.3">
      <c r="A251" s="6"/>
      <c r="C251" s="108"/>
      <c r="D251" s="108"/>
      <c r="E251" s="108"/>
      <c r="F251" s="107"/>
      <c r="G251" s="107"/>
      <c r="H251" s="107"/>
    </row>
    <row r="252" spans="1:8" x14ac:dyDescent="0.3">
      <c r="A252" s="6"/>
      <c r="C252" s="108"/>
      <c r="D252" s="108"/>
      <c r="E252" s="108"/>
      <c r="F252" s="107"/>
      <c r="G252" s="107"/>
      <c r="H252" s="107"/>
    </row>
    <row r="253" spans="1:8" x14ac:dyDescent="0.3">
      <c r="A253" s="6"/>
      <c r="C253" s="108"/>
      <c r="D253" s="108"/>
      <c r="E253" s="108"/>
      <c r="F253" s="107"/>
      <c r="G253" s="107"/>
      <c r="H253" s="107"/>
    </row>
    <row r="254" spans="1:8" x14ac:dyDescent="0.3">
      <c r="A254" s="6"/>
      <c r="C254" s="108"/>
      <c r="D254" s="108"/>
      <c r="E254" s="108"/>
      <c r="F254" s="107"/>
      <c r="G254" s="107"/>
      <c r="H254" s="107"/>
    </row>
    <row r="255" spans="1:8" x14ac:dyDescent="0.3">
      <c r="A255" s="6"/>
      <c r="C255" s="108"/>
      <c r="D255" s="108"/>
      <c r="E255" s="108"/>
      <c r="F255" s="107"/>
      <c r="G255" s="107"/>
      <c r="H255" s="107"/>
    </row>
    <row r="256" spans="1:8" x14ac:dyDescent="0.3">
      <c r="A256" s="6"/>
      <c r="C256" s="108"/>
      <c r="D256" s="108"/>
      <c r="E256" s="108"/>
      <c r="F256" s="107"/>
      <c r="G256" s="107"/>
      <c r="H256" s="107"/>
    </row>
    <row r="257" spans="1:8" x14ac:dyDescent="0.3">
      <c r="A257" s="6"/>
      <c r="C257" s="108"/>
      <c r="D257" s="108"/>
      <c r="E257" s="108"/>
      <c r="F257" s="107"/>
      <c r="G257" s="107"/>
      <c r="H257" s="107"/>
    </row>
    <row r="258" spans="1:8" x14ac:dyDescent="0.3">
      <c r="A258" s="6"/>
      <c r="C258" s="108"/>
      <c r="D258" s="108"/>
      <c r="E258" s="108"/>
      <c r="F258" s="107"/>
      <c r="G258" s="107"/>
      <c r="H258" s="107"/>
    </row>
    <row r="259" spans="1:8" x14ac:dyDescent="0.3">
      <c r="A259" s="6"/>
      <c r="C259" s="108"/>
      <c r="D259" s="108"/>
      <c r="E259" s="108"/>
      <c r="F259" s="107"/>
      <c r="G259" s="107"/>
      <c r="H259" s="107"/>
    </row>
    <row r="260" spans="1:8" x14ac:dyDescent="0.3">
      <c r="A260" s="6"/>
      <c r="C260" s="108"/>
      <c r="D260" s="108"/>
      <c r="E260" s="108"/>
      <c r="F260" s="107"/>
      <c r="G260" s="107"/>
      <c r="H260" s="107"/>
    </row>
    <row r="261" spans="1:8" x14ac:dyDescent="0.3">
      <c r="A261" s="6"/>
      <c r="C261" s="108"/>
      <c r="D261" s="108"/>
      <c r="E261" s="108"/>
      <c r="F261" s="107"/>
      <c r="G261" s="107"/>
      <c r="H261" s="107"/>
    </row>
    <row r="262" spans="1:8" x14ac:dyDescent="0.3">
      <c r="A262" s="6"/>
      <c r="C262" s="108"/>
      <c r="D262" s="108"/>
      <c r="E262" s="108"/>
      <c r="F262" s="107"/>
      <c r="G262" s="107"/>
      <c r="H262" s="107"/>
    </row>
    <row r="263" spans="1:8" x14ac:dyDescent="0.3">
      <c r="A263" s="6"/>
      <c r="C263" s="108"/>
      <c r="D263" s="108"/>
      <c r="E263" s="108"/>
      <c r="F263" s="107"/>
      <c r="G263" s="107"/>
      <c r="H263" s="107"/>
    </row>
    <row r="264" spans="1:8" x14ac:dyDescent="0.3">
      <c r="A264" s="6"/>
      <c r="C264" s="108"/>
      <c r="D264" s="108"/>
      <c r="E264" s="108"/>
      <c r="F264" s="107"/>
      <c r="G264" s="107"/>
      <c r="H264" s="107"/>
    </row>
    <row r="265" spans="1:8" x14ac:dyDescent="0.3">
      <c r="A265" s="6"/>
      <c r="C265" s="108"/>
      <c r="D265" s="108"/>
      <c r="E265" s="108"/>
      <c r="F265" s="107"/>
      <c r="G265" s="107"/>
      <c r="H265" s="107"/>
    </row>
    <row r="266" spans="1:8" x14ac:dyDescent="0.3">
      <c r="A266" s="6"/>
      <c r="C266" s="108"/>
      <c r="D266" s="108"/>
      <c r="E266" s="108"/>
      <c r="F266" s="107"/>
      <c r="G266" s="107"/>
      <c r="H266" s="107"/>
    </row>
    <row r="267" spans="1:8" x14ac:dyDescent="0.3">
      <c r="A267" s="6"/>
      <c r="C267" s="108"/>
      <c r="D267" s="108"/>
      <c r="E267" s="108"/>
      <c r="F267" s="107"/>
      <c r="G267" s="107"/>
      <c r="H267" s="107"/>
    </row>
    <row r="268" spans="1:8" x14ac:dyDescent="0.3">
      <c r="A268" s="6"/>
      <c r="C268" s="108"/>
      <c r="D268" s="108"/>
      <c r="E268" s="108"/>
      <c r="F268" s="107"/>
      <c r="G268" s="107"/>
      <c r="H268" s="107"/>
    </row>
    <row r="269" spans="1:8" x14ac:dyDescent="0.3">
      <c r="A269" s="6"/>
      <c r="C269" s="108"/>
      <c r="D269" s="108"/>
      <c r="E269" s="108"/>
      <c r="F269" s="107"/>
      <c r="G269" s="107"/>
      <c r="H269" s="107"/>
    </row>
    <row r="270" spans="1:8" x14ac:dyDescent="0.3">
      <c r="A270" s="6"/>
      <c r="C270" s="108"/>
      <c r="D270" s="108"/>
      <c r="E270" s="108"/>
      <c r="F270" s="107"/>
      <c r="G270" s="107"/>
      <c r="H270" s="107"/>
    </row>
    <row r="271" spans="1:8" x14ac:dyDescent="0.3">
      <c r="A271" s="6"/>
      <c r="C271" s="108"/>
      <c r="D271" s="108"/>
      <c r="E271" s="108"/>
      <c r="F271" s="107"/>
      <c r="G271" s="107"/>
      <c r="H271" s="107"/>
    </row>
    <row r="272" spans="1:8" x14ac:dyDescent="0.3">
      <c r="A272" s="6"/>
      <c r="C272" s="108"/>
      <c r="D272" s="108"/>
      <c r="E272" s="108"/>
      <c r="F272" s="107"/>
      <c r="G272" s="107"/>
      <c r="H272" s="107"/>
    </row>
    <row r="273" spans="1:8" x14ac:dyDescent="0.3">
      <c r="A273" s="6"/>
      <c r="C273" s="108"/>
      <c r="D273" s="108"/>
      <c r="E273" s="108"/>
      <c r="F273" s="107"/>
      <c r="G273" s="107"/>
      <c r="H273" s="107"/>
    </row>
    <row r="274" spans="1:8" x14ac:dyDescent="0.3">
      <c r="A274" s="6"/>
      <c r="C274" s="108"/>
      <c r="D274" s="108"/>
      <c r="E274" s="108"/>
      <c r="F274" s="107"/>
      <c r="G274" s="107"/>
      <c r="H274" s="107"/>
    </row>
    <row r="275" spans="1:8" x14ac:dyDescent="0.3">
      <c r="A275" s="6"/>
      <c r="C275" s="108"/>
      <c r="D275" s="108"/>
      <c r="E275" s="108"/>
      <c r="F275" s="107"/>
      <c r="G275" s="107"/>
      <c r="H275" s="107"/>
    </row>
    <row r="276" spans="1:8" x14ac:dyDescent="0.3">
      <c r="A276" s="6"/>
      <c r="C276" s="108"/>
      <c r="D276" s="108"/>
      <c r="E276" s="108"/>
      <c r="F276" s="107"/>
      <c r="G276" s="107"/>
      <c r="H276" s="107"/>
    </row>
    <row r="277" spans="1:8" x14ac:dyDescent="0.3">
      <c r="A277" s="6"/>
      <c r="C277" s="108"/>
      <c r="D277" s="108"/>
      <c r="E277" s="108"/>
      <c r="F277" s="107"/>
      <c r="G277" s="107"/>
      <c r="H277" s="107"/>
    </row>
    <row r="278" spans="1:8" x14ac:dyDescent="0.3">
      <c r="A278" s="6"/>
      <c r="C278" s="108"/>
      <c r="D278" s="108"/>
      <c r="E278" s="108"/>
      <c r="F278" s="107"/>
      <c r="G278" s="107"/>
      <c r="H278" s="107"/>
    </row>
    <row r="279" spans="1:8" x14ac:dyDescent="0.3">
      <c r="A279" s="6"/>
      <c r="C279" s="108"/>
      <c r="D279" s="108"/>
      <c r="E279" s="108"/>
      <c r="F279" s="107"/>
      <c r="G279" s="107"/>
      <c r="H279" s="107"/>
    </row>
    <row r="280" spans="1:8" x14ac:dyDescent="0.3">
      <c r="A280" s="6"/>
      <c r="C280" s="108"/>
      <c r="D280" s="108"/>
      <c r="E280" s="108"/>
      <c r="F280" s="107"/>
      <c r="G280" s="107"/>
      <c r="H280" s="107"/>
    </row>
    <row r="281" spans="1:8" x14ac:dyDescent="0.3">
      <c r="A281" s="6"/>
      <c r="C281" s="108"/>
      <c r="D281" s="108"/>
      <c r="E281" s="108"/>
      <c r="F281" s="107"/>
      <c r="G281" s="107"/>
      <c r="H281" s="107"/>
    </row>
    <row r="282" spans="1:8" x14ac:dyDescent="0.3">
      <c r="A282" s="6"/>
      <c r="C282" s="108"/>
      <c r="D282" s="108"/>
      <c r="E282" s="108"/>
      <c r="F282" s="107"/>
      <c r="G282" s="107"/>
      <c r="H282" s="107"/>
    </row>
    <row r="283" spans="1:8" x14ac:dyDescent="0.3">
      <c r="A283" s="6"/>
      <c r="C283" s="108"/>
      <c r="D283" s="108"/>
      <c r="E283" s="108"/>
      <c r="F283" s="107"/>
      <c r="G283" s="107"/>
      <c r="H283" s="107"/>
    </row>
    <row r="284" spans="1:8" x14ac:dyDescent="0.3">
      <c r="A284" s="6"/>
      <c r="C284" s="108"/>
      <c r="D284" s="108"/>
      <c r="E284" s="108"/>
      <c r="F284" s="107"/>
      <c r="G284" s="107"/>
      <c r="H284" s="107"/>
    </row>
    <row r="285" spans="1:8" x14ac:dyDescent="0.3">
      <c r="A285" s="6"/>
      <c r="C285" s="108"/>
      <c r="D285" s="108"/>
      <c r="E285" s="108"/>
      <c r="F285" s="107"/>
      <c r="G285" s="107"/>
      <c r="H285" s="107"/>
    </row>
    <row r="286" spans="1:8" x14ac:dyDescent="0.3">
      <c r="A286" s="6"/>
      <c r="C286" s="108"/>
      <c r="D286" s="108"/>
      <c r="E286" s="108"/>
      <c r="F286" s="107"/>
      <c r="G286" s="107"/>
      <c r="H286" s="107"/>
    </row>
    <row r="287" spans="1:8" x14ac:dyDescent="0.3">
      <c r="A287" s="6"/>
      <c r="C287" s="108"/>
      <c r="D287" s="108"/>
      <c r="E287" s="108"/>
      <c r="F287" s="107"/>
      <c r="G287" s="107"/>
      <c r="H287" s="107"/>
    </row>
    <row r="288" spans="1:8" x14ac:dyDescent="0.3">
      <c r="A288" s="6"/>
      <c r="C288" s="108"/>
      <c r="D288" s="108"/>
      <c r="E288" s="108"/>
      <c r="F288" s="107"/>
      <c r="G288" s="107"/>
      <c r="H288" s="107"/>
    </row>
    <row r="289" spans="1:8" x14ac:dyDescent="0.3">
      <c r="A289" s="6"/>
      <c r="C289" s="108"/>
      <c r="D289" s="108"/>
      <c r="E289" s="108"/>
      <c r="F289" s="107"/>
      <c r="G289" s="107"/>
      <c r="H289" s="107"/>
    </row>
    <row r="290" spans="1:8" x14ac:dyDescent="0.3">
      <c r="A290" s="6"/>
      <c r="C290" s="108"/>
      <c r="D290" s="108"/>
      <c r="E290" s="108"/>
      <c r="F290" s="107"/>
      <c r="G290" s="107"/>
      <c r="H290" s="107"/>
    </row>
    <row r="291" spans="1:8" x14ac:dyDescent="0.3">
      <c r="A291" s="6"/>
      <c r="C291" s="108"/>
      <c r="D291" s="108"/>
      <c r="E291" s="108"/>
      <c r="F291" s="107"/>
      <c r="G291" s="107"/>
      <c r="H291" s="107"/>
    </row>
    <row r="292" spans="1:8" x14ac:dyDescent="0.3">
      <c r="A292" s="6"/>
      <c r="C292" s="108"/>
      <c r="D292" s="108"/>
      <c r="E292" s="108"/>
      <c r="F292" s="107"/>
      <c r="G292" s="107"/>
      <c r="H292" s="107"/>
    </row>
    <row r="293" spans="1:8" x14ac:dyDescent="0.3">
      <c r="A293" s="6"/>
      <c r="C293" s="108"/>
      <c r="D293" s="108"/>
      <c r="E293" s="108"/>
      <c r="F293" s="107"/>
      <c r="G293" s="107"/>
      <c r="H293" s="107"/>
    </row>
    <row r="294" spans="1:8" x14ac:dyDescent="0.3">
      <c r="A294" s="6"/>
      <c r="C294" s="108"/>
      <c r="D294" s="108"/>
      <c r="E294" s="108"/>
      <c r="F294" s="107"/>
      <c r="G294" s="107"/>
      <c r="H294" s="107"/>
    </row>
    <row r="295" spans="1:8" x14ac:dyDescent="0.3">
      <c r="A295" s="6"/>
      <c r="C295" s="108"/>
      <c r="D295" s="108"/>
      <c r="E295" s="108"/>
      <c r="F295" s="107"/>
      <c r="G295" s="107"/>
      <c r="H295" s="107"/>
    </row>
    <row r="296" spans="1:8" x14ac:dyDescent="0.3">
      <c r="A296" s="6"/>
      <c r="C296" s="108"/>
      <c r="D296" s="108"/>
      <c r="E296" s="108"/>
      <c r="F296" s="107"/>
      <c r="G296" s="107"/>
      <c r="H296" s="107"/>
    </row>
    <row r="297" spans="1:8" x14ac:dyDescent="0.3">
      <c r="A297" s="6"/>
      <c r="C297" s="108"/>
      <c r="D297" s="108"/>
      <c r="E297" s="108"/>
      <c r="F297" s="107"/>
      <c r="G297" s="107"/>
      <c r="H297" s="107"/>
    </row>
    <row r="298" spans="1:8" x14ac:dyDescent="0.3">
      <c r="A298" s="6"/>
      <c r="C298" s="108"/>
      <c r="D298" s="108"/>
      <c r="E298" s="108"/>
      <c r="F298" s="107"/>
      <c r="G298" s="107"/>
      <c r="H298" s="107"/>
    </row>
    <row r="299" spans="1:8" x14ac:dyDescent="0.3">
      <c r="A299" s="6"/>
      <c r="C299" s="108"/>
      <c r="D299" s="108"/>
      <c r="E299" s="108"/>
      <c r="F299" s="107"/>
      <c r="G299" s="107"/>
      <c r="H299" s="107"/>
    </row>
    <row r="300" spans="1:8" x14ac:dyDescent="0.3">
      <c r="A300" s="6"/>
      <c r="C300" s="108"/>
      <c r="D300" s="108"/>
      <c r="E300" s="108"/>
      <c r="F300" s="107"/>
      <c r="G300" s="107"/>
      <c r="H300" s="107"/>
    </row>
    <row r="301" spans="1:8" x14ac:dyDescent="0.3">
      <c r="A301" s="6"/>
      <c r="C301" s="108"/>
      <c r="D301" s="108"/>
      <c r="E301" s="108"/>
      <c r="F301" s="107"/>
      <c r="G301" s="107"/>
      <c r="H301" s="107"/>
    </row>
    <row r="302" spans="1:8" x14ac:dyDescent="0.3">
      <c r="A302" s="6"/>
      <c r="C302" s="108"/>
      <c r="D302" s="108"/>
      <c r="E302" s="108"/>
      <c r="F302" s="107"/>
      <c r="G302" s="107"/>
      <c r="H302" s="107"/>
    </row>
    <row r="303" spans="1:8" x14ac:dyDescent="0.3">
      <c r="A303" s="6"/>
      <c r="C303" s="108"/>
      <c r="D303" s="108"/>
      <c r="E303" s="108"/>
      <c r="F303" s="107"/>
      <c r="G303" s="107"/>
      <c r="H303" s="107"/>
    </row>
    <row r="304" spans="1:8" x14ac:dyDescent="0.3">
      <c r="A304" s="6"/>
      <c r="C304" s="108"/>
      <c r="D304" s="108"/>
      <c r="E304" s="108"/>
      <c r="F304" s="107"/>
      <c r="G304" s="107"/>
      <c r="H304" s="107"/>
    </row>
    <row r="305" spans="1:8" x14ac:dyDescent="0.3">
      <c r="A305" s="6"/>
      <c r="C305" s="108"/>
      <c r="D305" s="108"/>
      <c r="E305" s="108"/>
      <c r="F305" s="107"/>
      <c r="G305" s="107"/>
      <c r="H305" s="107"/>
    </row>
    <row r="306" spans="1:8" x14ac:dyDescent="0.3">
      <c r="A306" s="6"/>
      <c r="C306" s="108"/>
      <c r="D306" s="108"/>
      <c r="E306" s="108"/>
      <c r="F306" s="107"/>
      <c r="G306" s="107"/>
      <c r="H306" s="107"/>
    </row>
    <row r="307" spans="1:8" x14ac:dyDescent="0.3">
      <c r="A307" s="6"/>
      <c r="C307" s="108"/>
      <c r="D307" s="108"/>
      <c r="E307" s="108"/>
      <c r="F307" s="107"/>
      <c r="G307" s="107"/>
      <c r="H307" s="107"/>
    </row>
    <row r="308" spans="1:8" x14ac:dyDescent="0.3">
      <c r="A308" s="6"/>
      <c r="C308" s="108"/>
      <c r="D308" s="108"/>
      <c r="E308" s="108"/>
      <c r="F308" s="107"/>
      <c r="G308" s="107"/>
      <c r="H308" s="107"/>
    </row>
    <row r="309" spans="1:8" x14ac:dyDescent="0.3">
      <c r="A309" s="6"/>
      <c r="C309" s="108"/>
      <c r="D309" s="108"/>
      <c r="E309" s="108"/>
      <c r="F309" s="107"/>
      <c r="G309" s="107"/>
      <c r="H309" s="107"/>
    </row>
    <row r="310" spans="1:8" x14ac:dyDescent="0.3">
      <c r="A310" s="6"/>
      <c r="C310" s="108"/>
      <c r="D310" s="108"/>
      <c r="E310" s="108"/>
      <c r="F310" s="107"/>
      <c r="G310" s="107"/>
      <c r="H310" s="107"/>
    </row>
    <row r="311" spans="1:8" x14ac:dyDescent="0.3">
      <c r="A311" s="6"/>
      <c r="C311" s="108"/>
      <c r="D311" s="108"/>
      <c r="E311" s="108"/>
      <c r="F311" s="107"/>
      <c r="G311" s="107"/>
      <c r="H311" s="107"/>
    </row>
    <row r="312" spans="1:8" x14ac:dyDescent="0.3">
      <c r="A312" s="6"/>
      <c r="C312" s="108"/>
      <c r="D312" s="108"/>
      <c r="E312" s="108"/>
      <c r="F312" s="107"/>
      <c r="G312" s="107"/>
      <c r="H312" s="107"/>
    </row>
    <row r="313" spans="1:8" x14ac:dyDescent="0.3">
      <c r="A313" s="6"/>
      <c r="C313" s="108"/>
      <c r="D313" s="108"/>
      <c r="E313" s="108"/>
      <c r="F313" s="107"/>
      <c r="G313" s="107"/>
      <c r="H313" s="107"/>
    </row>
    <row r="314" spans="1:8" x14ac:dyDescent="0.3">
      <c r="A314" s="6"/>
      <c r="C314" s="108"/>
      <c r="D314" s="108"/>
      <c r="E314" s="108"/>
      <c r="F314" s="107"/>
      <c r="G314" s="107"/>
      <c r="H314" s="107"/>
    </row>
    <row r="315" spans="1:8" x14ac:dyDescent="0.3">
      <c r="A315" s="6"/>
      <c r="C315" s="108"/>
      <c r="D315" s="108"/>
      <c r="E315" s="108"/>
      <c r="F315" s="107"/>
      <c r="G315" s="107"/>
      <c r="H315" s="107"/>
    </row>
    <row r="316" spans="1:8" x14ac:dyDescent="0.3">
      <c r="A316" s="6"/>
      <c r="C316" s="108"/>
      <c r="D316" s="108"/>
      <c r="E316" s="108"/>
      <c r="F316" s="107"/>
      <c r="G316" s="107"/>
      <c r="H316" s="107"/>
    </row>
  </sheetData>
  <mergeCells count="3">
    <mergeCell ref="A61:B61"/>
    <mergeCell ref="A62:B62"/>
    <mergeCell ref="A1:H1"/>
  </mergeCells>
  <printOptions horizontalCentered="1"/>
  <pageMargins left="0.25" right="0.25" top="0.75" bottom="0.75" header="0.3" footer="0.3"/>
  <pageSetup scale="71" orientation="landscape" r:id="rId1"/>
  <headerFooter alignWithMargins="0">
    <oddFooter>&amp;L&amp;"Times New Roman,Regular"&amp;10&amp;D Page &amp;P&amp;R&amp;"Times New Roman,Regular"&amp;10&amp;F [&amp;A]</oddFooter>
  </headerFooter>
  <rowBreaks count="1" manualBreakCount="1">
    <brk id="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50"/>
  </sheetPr>
  <dimension ref="A1:CN19933"/>
  <sheetViews>
    <sheetView zoomScale="80" zoomScaleNormal="80" zoomScaleSheetLayoutView="80" workbookViewId="0">
      <pane ySplit="1" topLeftCell="A2" activePane="bottomLeft" state="frozen"/>
      <selection pane="bottomLeft" activeCell="E215" sqref="E215"/>
    </sheetView>
  </sheetViews>
  <sheetFormatPr defaultColWidth="11.453125" defaultRowHeight="15" x14ac:dyDescent="0.25"/>
  <cols>
    <col min="1" max="1" width="2.08984375" style="151" customWidth="1"/>
    <col min="2" max="2" width="32.81640625" style="151" customWidth="1"/>
    <col min="3" max="5" width="16.453125" style="771" customWidth="1"/>
    <col min="6" max="8" width="16.36328125" style="771" customWidth="1"/>
    <col min="9" max="9" width="5" style="151" customWidth="1"/>
    <col min="10" max="23" width="16.453125" style="151" customWidth="1"/>
    <col min="24" max="16384" width="11.453125" style="151"/>
  </cols>
  <sheetData>
    <row r="1" spans="1:85" s="147" customFormat="1" ht="30.75" customHeight="1" x14ac:dyDescent="0.25">
      <c r="A1" s="142" t="s">
        <v>202</v>
      </c>
      <c r="B1" s="143"/>
      <c r="C1" s="1069"/>
      <c r="D1" s="1070"/>
      <c r="E1" s="145"/>
      <c r="F1" s="145"/>
      <c r="G1" s="145"/>
      <c r="H1" s="146"/>
    </row>
    <row r="2" spans="1:85" s="199" customFormat="1" x14ac:dyDescent="0.25">
      <c r="A2" s="241"/>
      <c r="B2" s="239"/>
      <c r="C2" s="309"/>
      <c r="D2" s="309"/>
      <c r="E2" s="309"/>
      <c r="F2" s="309"/>
      <c r="G2" s="309"/>
      <c r="H2" s="309"/>
      <c r="I2" s="197"/>
      <c r="J2" s="197"/>
      <c r="K2" s="197"/>
      <c r="L2" s="197"/>
      <c r="M2" s="197"/>
      <c r="N2" s="197"/>
      <c r="O2" s="197"/>
      <c r="P2" s="197"/>
      <c r="Q2" s="197"/>
      <c r="R2" s="197"/>
      <c r="S2" s="197"/>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row>
    <row r="3" spans="1:85" s="199" customFormat="1" ht="15.6" x14ac:dyDescent="0.3">
      <c r="A3" s="310" t="s">
        <v>37</v>
      </c>
      <c r="B3" s="311"/>
      <c r="C3" s="312" t="s">
        <v>38</v>
      </c>
      <c r="D3" s="313" t="s">
        <v>1472</v>
      </c>
      <c r="E3" s="314"/>
      <c r="F3" s="267"/>
      <c r="G3" s="267"/>
      <c r="H3" s="267"/>
      <c r="I3" s="197"/>
      <c r="J3" s="197"/>
      <c r="K3" s="197"/>
      <c r="L3" s="197"/>
      <c r="M3" s="197"/>
      <c r="N3" s="197"/>
      <c r="O3" s="197"/>
      <c r="P3" s="197"/>
      <c r="Q3" s="197"/>
      <c r="R3" s="197"/>
      <c r="S3" s="197"/>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row>
    <row r="4" spans="1:85" s="199" customFormat="1" x14ac:dyDescent="0.25">
      <c r="A4" s="876" t="s">
        <v>375</v>
      </c>
      <c r="B4" s="316"/>
      <c r="C4" s="153" t="s">
        <v>524</v>
      </c>
      <c r="D4" s="317"/>
      <c r="E4" s="318"/>
      <c r="F4" s="318"/>
      <c r="G4" s="318"/>
      <c r="H4" s="318"/>
      <c r="I4" s="197"/>
      <c r="J4" s="197"/>
      <c r="K4" s="197"/>
      <c r="L4" s="197"/>
      <c r="M4" s="197"/>
      <c r="N4" s="197"/>
      <c r="O4" s="197"/>
      <c r="P4" s="197"/>
      <c r="Q4" s="197"/>
      <c r="R4" s="197"/>
      <c r="S4" s="197"/>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row>
    <row r="5" spans="1:85" s="199" customFormat="1" x14ac:dyDescent="0.25">
      <c r="A5" s="319" t="s">
        <v>80</v>
      </c>
      <c r="B5" s="206"/>
      <c r="C5" s="158" t="s">
        <v>1469</v>
      </c>
      <c r="D5" s="320"/>
      <c r="E5" s="321"/>
      <c r="F5" s="321"/>
      <c r="G5" s="321"/>
      <c r="H5" s="321"/>
      <c r="I5" s="197"/>
      <c r="J5" s="197"/>
      <c r="K5" s="197"/>
      <c r="L5" s="197"/>
      <c r="M5" s="197"/>
      <c r="N5" s="197"/>
      <c r="O5" s="197"/>
      <c r="P5" s="197"/>
      <c r="Q5" s="197"/>
      <c r="R5" s="197"/>
      <c r="S5" s="197"/>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row>
    <row r="6" spans="1:85" s="199" customFormat="1" x14ac:dyDescent="0.25">
      <c r="A6" s="319" t="s">
        <v>2</v>
      </c>
      <c r="B6" s="206"/>
      <c r="C6" s="158" t="s">
        <v>1466</v>
      </c>
      <c r="D6" s="320"/>
      <c r="E6" s="321"/>
      <c r="F6" s="321"/>
      <c r="G6" s="321"/>
      <c r="H6" s="321"/>
      <c r="I6" s="197"/>
      <c r="J6" s="197"/>
      <c r="K6" s="197"/>
      <c r="L6" s="197"/>
      <c r="M6" s="197"/>
      <c r="N6" s="197"/>
      <c r="O6" s="197"/>
      <c r="P6" s="197"/>
      <c r="Q6" s="197"/>
      <c r="R6" s="197"/>
      <c r="S6" s="197"/>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row>
    <row r="7" spans="1:85" s="199" customFormat="1" x14ac:dyDescent="0.25">
      <c r="A7" s="322" t="s">
        <v>108</v>
      </c>
      <c r="B7" s="323"/>
      <c r="C7" s="275" t="s">
        <v>1470</v>
      </c>
      <c r="D7" s="324"/>
      <c r="E7" s="325"/>
      <c r="F7" s="325"/>
      <c r="G7" s="325"/>
      <c r="H7" s="325"/>
      <c r="I7" s="197"/>
      <c r="J7" s="197"/>
      <c r="K7" s="197"/>
      <c r="L7" s="197"/>
      <c r="M7" s="197"/>
      <c r="N7" s="197"/>
      <c r="O7" s="197"/>
      <c r="P7" s="197"/>
      <c r="Q7" s="197"/>
      <c r="R7" s="197"/>
      <c r="S7" s="197"/>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row>
    <row r="8" spans="1:85" s="199" customFormat="1" ht="15.6" x14ac:dyDescent="0.25">
      <c r="A8" s="326" t="s">
        <v>5</v>
      </c>
      <c r="B8" s="327"/>
      <c r="C8" s="328"/>
      <c r="D8" s="329"/>
      <c r="E8" s="330"/>
      <c r="F8" s="330"/>
      <c r="G8" s="330"/>
      <c r="H8" s="330"/>
      <c r="I8" s="197"/>
      <c r="J8" s="197"/>
      <c r="K8" s="197"/>
      <c r="L8" s="197"/>
      <c r="M8" s="197"/>
      <c r="N8" s="197"/>
      <c r="O8" s="197"/>
      <c r="P8" s="197"/>
      <c r="Q8" s="197"/>
      <c r="R8" s="197"/>
      <c r="S8" s="197"/>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row>
    <row r="9" spans="1:85" s="199" customFormat="1" x14ac:dyDescent="0.25">
      <c r="A9" s="331"/>
      <c r="B9" s="332" t="s">
        <v>109</v>
      </c>
      <c r="C9" s="279">
        <v>1007094699</v>
      </c>
      <c r="D9" s="333">
        <f>SUM(D10:D12)</f>
        <v>1058453088</v>
      </c>
      <c r="E9" s="334"/>
      <c r="F9" s="334"/>
      <c r="G9" s="334"/>
      <c r="H9" s="334"/>
      <c r="I9" s="197"/>
      <c r="J9" s="197"/>
      <c r="K9" s="197"/>
      <c r="L9" s="197"/>
      <c r="M9" s="197"/>
      <c r="N9" s="197"/>
      <c r="O9" s="197"/>
      <c r="P9" s="197"/>
      <c r="Q9" s="197"/>
      <c r="R9" s="197"/>
      <c r="S9" s="197"/>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row>
    <row r="10" spans="1:85" s="199" customFormat="1" x14ac:dyDescent="0.25">
      <c r="A10" s="331"/>
      <c r="B10" s="332" t="s">
        <v>1459</v>
      </c>
      <c r="C10" s="279"/>
      <c r="D10" s="333">
        <v>918263713</v>
      </c>
      <c r="E10" s="334"/>
      <c r="F10" s="334"/>
      <c r="G10" s="334"/>
      <c r="H10" s="334"/>
      <c r="I10" s="197"/>
      <c r="J10" s="197"/>
      <c r="K10" s="197"/>
      <c r="L10" s="197"/>
      <c r="M10" s="197"/>
      <c r="N10" s="197"/>
      <c r="O10" s="197"/>
      <c r="P10" s="197"/>
      <c r="Q10" s="197"/>
      <c r="R10" s="197"/>
      <c r="S10" s="197"/>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row>
    <row r="11" spans="1:85" s="199" customFormat="1" x14ac:dyDescent="0.25">
      <c r="A11" s="331"/>
      <c r="B11" s="332" t="s">
        <v>1460</v>
      </c>
      <c r="C11" s="279"/>
      <c r="D11" s="333">
        <v>122837111</v>
      </c>
      <c r="E11" s="334"/>
      <c r="F11" s="334"/>
      <c r="G11" s="334"/>
      <c r="H11" s="334"/>
      <c r="I11" s="197"/>
      <c r="J11" s="197"/>
      <c r="K11" s="197"/>
      <c r="L11" s="197"/>
      <c r="M11" s="197"/>
      <c r="N11" s="197"/>
      <c r="O11" s="197"/>
      <c r="P11" s="197"/>
      <c r="Q11" s="197"/>
      <c r="R11" s="197"/>
      <c r="S11" s="197"/>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row>
    <row r="12" spans="1:85" s="199" customFormat="1" x14ac:dyDescent="0.25">
      <c r="A12" s="331"/>
      <c r="B12" s="332" t="s">
        <v>1461</v>
      </c>
      <c r="C12" s="279"/>
      <c r="D12" s="333">
        <v>17352264</v>
      </c>
      <c r="E12" s="334"/>
      <c r="F12" s="334"/>
      <c r="G12" s="334"/>
      <c r="H12" s="334"/>
      <c r="I12" s="197"/>
      <c r="J12" s="197"/>
      <c r="K12" s="197"/>
      <c r="L12" s="197"/>
      <c r="M12" s="197"/>
      <c r="N12" s="197"/>
      <c r="O12" s="197"/>
      <c r="P12" s="197"/>
      <c r="Q12" s="197"/>
      <c r="R12" s="197"/>
      <c r="S12" s="197"/>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row>
    <row r="13" spans="1:85" s="199" customFormat="1" x14ac:dyDescent="0.25">
      <c r="A13" s="331"/>
      <c r="B13" s="262" t="s">
        <v>110</v>
      </c>
      <c r="C13" s="335">
        <f>+C9</f>
        <v>1007094699</v>
      </c>
      <c r="D13" s="336"/>
      <c r="E13" s="337"/>
      <c r="F13" s="337"/>
      <c r="G13" s="337"/>
      <c r="H13" s="337"/>
      <c r="I13" s="197"/>
      <c r="J13" s="197"/>
      <c r="K13" s="197"/>
      <c r="L13" s="197"/>
      <c r="M13" s="197"/>
      <c r="N13" s="197"/>
      <c r="O13" s="197"/>
      <c r="P13" s="197"/>
      <c r="Q13" s="197"/>
      <c r="R13" s="197"/>
      <c r="S13" s="197"/>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row>
    <row r="14" spans="1:85" s="199" customFormat="1" ht="15.6" x14ac:dyDescent="0.25">
      <c r="A14" s="331"/>
      <c r="B14" s="338" t="s">
        <v>441</v>
      </c>
      <c r="C14" s="335">
        <f>+C13</f>
        <v>1007094699</v>
      </c>
      <c r="D14" s="336"/>
      <c r="E14" s="337"/>
      <c r="F14" s="337"/>
      <c r="G14" s="337"/>
      <c r="H14" s="337"/>
      <c r="I14" s="197"/>
      <c r="J14" s="197"/>
      <c r="K14" s="197"/>
      <c r="L14" s="197"/>
      <c r="M14" s="197"/>
      <c r="N14" s="197"/>
      <c r="O14" s="197"/>
      <c r="P14" s="197"/>
      <c r="Q14" s="197"/>
      <c r="R14" s="197"/>
      <c r="S14" s="197"/>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row>
    <row r="15" spans="1:85" s="199" customFormat="1" ht="15.6" x14ac:dyDescent="0.25">
      <c r="A15" s="331"/>
      <c r="B15" s="338" t="s">
        <v>442</v>
      </c>
      <c r="C15" s="335">
        <f>+C14</f>
        <v>1007094699</v>
      </c>
      <c r="D15" s="336"/>
      <c r="E15" s="337"/>
      <c r="F15" s="337"/>
      <c r="G15" s="337"/>
      <c r="H15" s="337"/>
      <c r="I15" s="197"/>
      <c r="J15" s="197"/>
      <c r="K15" s="197"/>
      <c r="L15" s="197"/>
      <c r="M15" s="197"/>
      <c r="N15" s="197"/>
      <c r="O15" s="197"/>
      <c r="P15" s="197"/>
      <c r="Q15" s="197"/>
      <c r="R15" s="197"/>
      <c r="S15" s="197"/>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row>
    <row r="16" spans="1:85" s="199" customFormat="1" ht="15.6" x14ac:dyDescent="0.25">
      <c r="A16" s="331"/>
      <c r="B16" s="339" t="s">
        <v>443</v>
      </c>
      <c r="C16" s="335">
        <v>2000000</v>
      </c>
      <c r="D16" s="336"/>
      <c r="E16" s="337"/>
      <c r="F16" s="337"/>
      <c r="G16" s="337"/>
      <c r="H16" s="337"/>
      <c r="I16" s="197"/>
      <c r="J16" s="197"/>
      <c r="K16" s="197"/>
      <c r="L16" s="197"/>
      <c r="M16" s="197"/>
      <c r="N16" s="197"/>
      <c r="O16" s="197"/>
      <c r="P16" s="197"/>
      <c r="Q16" s="197"/>
      <c r="R16" s="197"/>
      <c r="S16" s="197"/>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row>
    <row r="17" spans="1:85" s="199" customFormat="1" ht="15.6" x14ac:dyDescent="0.25">
      <c r="A17" s="331"/>
      <c r="B17" s="339" t="s">
        <v>444</v>
      </c>
      <c r="C17" s="335" t="s">
        <v>522</v>
      </c>
      <c r="D17" s="336"/>
      <c r="E17" s="337"/>
      <c r="F17" s="337"/>
      <c r="G17" s="337"/>
      <c r="H17" s="337"/>
      <c r="I17" s="197"/>
      <c r="J17" s="197"/>
      <c r="K17" s="197"/>
      <c r="L17" s="197"/>
      <c r="M17" s="197"/>
      <c r="N17" s="197"/>
      <c r="O17" s="197"/>
      <c r="P17" s="197"/>
      <c r="Q17" s="197"/>
      <c r="R17" s="197"/>
      <c r="S17" s="197"/>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row>
    <row r="18" spans="1:85" s="199" customFormat="1" x14ac:dyDescent="0.25">
      <c r="A18" s="331"/>
      <c r="B18" s="262" t="s">
        <v>111</v>
      </c>
      <c r="C18" s="68">
        <v>500000</v>
      </c>
      <c r="D18" s="340"/>
      <c r="E18" s="337"/>
      <c r="F18" s="337"/>
      <c r="G18" s="337"/>
      <c r="H18" s="337"/>
      <c r="I18" s="197"/>
      <c r="J18" s="197"/>
      <c r="K18" s="197"/>
      <c r="L18" s="197"/>
      <c r="M18" s="197"/>
      <c r="N18" s="197"/>
      <c r="O18" s="197"/>
      <c r="P18" s="197"/>
      <c r="Q18" s="197"/>
      <c r="R18" s="197"/>
      <c r="S18" s="197"/>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row>
    <row r="19" spans="1:85" s="199" customFormat="1" x14ac:dyDescent="0.25">
      <c r="A19" s="331"/>
      <c r="B19" s="262" t="s">
        <v>169</v>
      </c>
      <c r="C19" s="68"/>
      <c r="D19" s="341"/>
      <c r="E19" s="337"/>
      <c r="F19" s="337"/>
      <c r="G19" s="337"/>
      <c r="H19" s="337"/>
      <c r="I19" s="197"/>
      <c r="J19" s="197"/>
      <c r="K19" s="197"/>
      <c r="L19" s="197"/>
      <c r="M19" s="197"/>
      <c r="N19" s="197"/>
      <c r="O19" s="197"/>
      <c r="P19" s="197"/>
      <c r="Q19" s="197"/>
      <c r="R19" s="197"/>
      <c r="S19" s="197"/>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row>
    <row r="20" spans="1:85" s="199" customFormat="1" x14ac:dyDescent="0.25">
      <c r="A20" s="331"/>
      <c r="B20" s="262" t="s">
        <v>371</v>
      </c>
      <c r="C20" s="68"/>
      <c r="D20" s="341"/>
      <c r="E20" s="337"/>
      <c r="F20" s="337"/>
      <c r="G20" s="337"/>
      <c r="H20" s="337"/>
      <c r="I20" s="197"/>
      <c r="J20" s="197"/>
      <c r="K20" s="197"/>
      <c r="L20" s="197"/>
      <c r="M20" s="197"/>
      <c r="N20" s="197"/>
      <c r="O20" s="197"/>
      <c r="P20" s="197"/>
      <c r="Q20" s="197"/>
      <c r="R20" s="197"/>
      <c r="S20" s="197"/>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row>
    <row r="21" spans="1:85" s="199" customFormat="1" x14ac:dyDescent="0.25">
      <c r="A21" s="331"/>
      <c r="B21" s="262" t="s">
        <v>112</v>
      </c>
      <c r="C21" s="68"/>
      <c r="D21" s="336"/>
      <c r="E21" s="337"/>
      <c r="F21" s="337"/>
      <c r="G21" s="337"/>
      <c r="H21" s="337"/>
      <c r="I21" s="197"/>
      <c r="J21" s="197"/>
      <c r="K21" s="197"/>
      <c r="L21" s="197"/>
      <c r="M21" s="197"/>
      <c r="N21" s="197"/>
      <c r="O21" s="197"/>
      <c r="P21" s="197"/>
      <c r="Q21" s="197"/>
      <c r="R21" s="197"/>
      <c r="S21" s="197"/>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row>
    <row r="22" spans="1:85" s="199" customFormat="1" ht="15.6" x14ac:dyDescent="0.25">
      <c r="A22" s="344" t="s">
        <v>72</v>
      </c>
      <c r="B22" s="204"/>
      <c r="C22" s="345"/>
      <c r="D22" s="346"/>
      <c r="E22" s="347"/>
      <c r="F22" s="347"/>
      <c r="G22" s="347"/>
      <c r="H22" s="347"/>
      <c r="I22" s="197"/>
      <c r="J22" s="197"/>
      <c r="K22" s="197"/>
      <c r="L22" s="197"/>
      <c r="M22" s="197"/>
      <c r="N22" s="197"/>
      <c r="O22" s="197"/>
      <c r="P22" s="197"/>
      <c r="Q22" s="197"/>
      <c r="R22" s="197"/>
      <c r="S22" s="197"/>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row>
    <row r="23" spans="1:85" s="199" customFormat="1" x14ac:dyDescent="0.25">
      <c r="A23" s="319"/>
      <c r="B23" s="206" t="s">
        <v>348</v>
      </c>
      <c r="C23" s="348"/>
      <c r="D23" s="349"/>
      <c r="E23" s="350"/>
      <c r="F23" s="350"/>
      <c r="G23" s="350"/>
      <c r="H23" s="350"/>
      <c r="I23" s="197"/>
      <c r="J23" s="197"/>
      <c r="K23" s="197"/>
      <c r="L23" s="197"/>
      <c r="M23" s="197"/>
      <c r="N23" s="197"/>
      <c r="O23" s="197"/>
      <c r="P23" s="197"/>
      <c r="Q23" s="197"/>
      <c r="R23" s="197"/>
      <c r="S23" s="197"/>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row>
    <row r="24" spans="1:85" s="199" customFormat="1" x14ac:dyDescent="0.25">
      <c r="A24" s="351"/>
      <c r="B24" s="209" t="s">
        <v>349</v>
      </c>
      <c r="C24" s="352"/>
      <c r="D24" s="353"/>
      <c r="E24" s="354"/>
      <c r="F24" s="354"/>
      <c r="G24" s="354"/>
      <c r="H24" s="354"/>
      <c r="I24" s="197"/>
      <c r="J24" s="197"/>
      <c r="K24" s="197"/>
      <c r="L24" s="197"/>
      <c r="M24" s="197"/>
      <c r="N24" s="197"/>
      <c r="O24" s="197"/>
      <c r="P24" s="197"/>
      <c r="Q24" s="197"/>
      <c r="R24" s="197"/>
      <c r="S24" s="197"/>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row>
    <row r="25" spans="1:85" s="199" customFormat="1" ht="15.6" x14ac:dyDescent="0.25">
      <c r="A25" s="355" t="s">
        <v>347</v>
      </c>
      <c r="B25" s="356"/>
      <c r="C25" s="67"/>
      <c r="D25" s="357"/>
      <c r="E25" s="358"/>
      <c r="F25" s="358"/>
      <c r="G25" s="358"/>
      <c r="H25" s="358"/>
      <c r="I25" s="197"/>
      <c r="J25" s="197"/>
      <c r="K25" s="197"/>
      <c r="L25" s="197"/>
      <c r="M25" s="197"/>
      <c r="N25" s="197"/>
      <c r="O25" s="197"/>
      <c r="P25" s="197"/>
      <c r="Q25" s="197"/>
      <c r="R25" s="197"/>
      <c r="S25" s="197"/>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row>
    <row r="26" spans="1:85" s="199" customFormat="1" ht="15.6" x14ac:dyDescent="0.25">
      <c r="A26" s="427"/>
      <c r="B26" s="377" t="s">
        <v>87</v>
      </c>
      <c r="C26" s="68"/>
      <c r="D26" s="336"/>
      <c r="E26" s="337"/>
      <c r="F26" s="337"/>
      <c r="G26" s="337"/>
      <c r="H26" s="337"/>
      <c r="I26" s="197"/>
      <c r="J26" s="197"/>
      <c r="K26" s="197"/>
      <c r="L26" s="197"/>
      <c r="M26" s="197"/>
      <c r="N26" s="197"/>
      <c r="O26" s="197"/>
      <c r="P26" s="197"/>
      <c r="Q26" s="197"/>
      <c r="R26" s="197"/>
      <c r="S26" s="197"/>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row>
    <row r="27" spans="1:85" s="199" customFormat="1" ht="15.6" x14ac:dyDescent="0.25">
      <c r="A27" s="427"/>
      <c r="B27" s="377" t="s">
        <v>351</v>
      </c>
      <c r="C27" s="68"/>
      <c r="D27" s="336"/>
      <c r="E27" s="337"/>
      <c r="F27" s="337"/>
      <c r="G27" s="337"/>
      <c r="H27" s="337"/>
      <c r="I27" s="197"/>
      <c r="J27" s="197"/>
      <c r="K27" s="197"/>
      <c r="L27" s="197"/>
      <c r="M27" s="197"/>
      <c r="N27" s="197"/>
      <c r="O27" s="197"/>
      <c r="P27" s="197"/>
      <c r="Q27" s="197"/>
      <c r="R27" s="197"/>
      <c r="S27" s="197"/>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row>
    <row r="28" spans="1:85" s="199" customFormat="1" ht="15.6" x14ac:dyDescent="0.25">
      <c r="A28" s="427"/>
      <c r="B28" s="377" t="s">
        <v>281</v>
      </c>
      <c r="C28" s="68"/>
      <c r="D28" s="336"/>
      <c r="E28" s="337"/>
      <c r="F28" s="337"/>
      <c r="G28" s="337"/>
      <c r="H28" s="337"/>
      <c r="I28" s="197"/>
      <c r="J28" s="197"/>
      <c r="K28" s="197"/>
      <c r="L28" s="197"/>
      <c r="M28" s="197"/>
      <c r="N28" s="197"/>
      <c r="O28" s="197"/>
      <c r="P28" s="197"/>
      <c r="Q28" s="197"/>
      <c r="R28" s="197"/>
      <c r="S28" s="197"/>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row>
    <row r="29" spans="1:85" s="199" customFormat="1" ht="15.6" x14ac:dyDescent="0.25">
      <c r="A29" s="427"/>
      <c r="B29" s="377" t="s">
        <v>350</v>
      </c>
      <c r="C29" s="68"/>
      <c r="D29" s="336"/>
      <c r="E29" s="337"/>
      <c r="F29" s="337"/>
      <c r="G29" s="337"/>
      <c r="H29" s="337"/>
      <c r="I29" s="197"/>
      <c r="J29" s="197"/>
      <c r="K29" s="197"/>
      <c r="L29" s="197"/>
      <c r="M29" s="197"/>
      <c r="N29" s="197"/>
      <c r="O29" s="197"/>
      <c r="P29" s="197"/>
      <c r="Q29" s="197"/>
      <c r="R29" s="197"/>
      <c r="S29" s="197"/>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row>
    <row r="30" spans="1:85" s="199" customFormat="1" ht="15.6" x14ac:dyDescent="0.25">
      <c r="A30" s="427"/>
      <c r="B30" s="377" t="s">
        <v>440</v>
      </c>
      <c r="C30" s="68"/>
      <c r="D30" s="336"/>
      <c r="E30" s="337"/>
      <c r="F30" s="337"/>
      <c r="G30" s="337"/>
      <c r="H30" s="337"/>
      <c r="I30" s="197"/>
      <c r="J30" s="197"/>
      <c r="K30" s="197"/>
      <c r="L30" s="197"/>
      <c r="M30" s="197"/>
      <c r="N30" s="197"/>
      <c r="O30" s="197"/>
      <c r="P30" s="197"/>
      <c r="Q30" s="197"/>
      <c r="R30" s="197"/>
      <c r="S30" s="197"/>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row>
    <row r="31" spans="1:85" s="199" customFormat="1" ht="15.6" x14ac:dyDescent="0.25">
      <c r="A31" s="427"/>
      <c r="B31" s="377" t="s">
        <v>445</v>
      </c>
      <c r="C31" s="68"/>
      <c r="D31" s="336"/>
      <c r="E31" s="337"/>
      <c r="F31" s="337"/>
      <c r="G31" s="337"/>
      <c r="H31" s="337"/>
      <c r="I31" s="197"/>
      <c r="J31" s="197"/>
      <c r="K31" s="197"/>
      <c r="L31" s="197"/>
      <c r="M31" s="197"/>
      <c r="N31" s="197"/>
      <c r="O31" s="197"/>
      <c r="P31" s="197"/>
      <c r="Q31" s="197"/>
      <c r="R31" s="197"/>
      <c r="S31" s="197"/>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row>
    <row r="32" spans="1:85" s="199" customFormat="1" ht="15.6" x14ac:dyDescent="0.25">
      <c r="A32" s="427"/>
      <c r="B32" s="377" t="s">
        <v>446</v>
      </c>
      <c r="C32" s="68"/>
      <c r="D32" s="336"/>
      <c r="E32" s="337"/>
      <c r="F32" s="337"/>
      <c r="G32" s="337"/>
      <c r="H32" s="337"/>
      <c r="I32" s="197"/>
      <c r="J32" s="197"/>
      <c r="K32" s="197"/>
      <c r="L32" s="197"/>
      <c r="M32" s="197"/>
      <c r="N32" s="197"/>
      <c r="O32" s="197"/>
      <c r="P32" s="197"/>
      <c r="Q32" s="197"/>
      <c r="R32" s="197"/>
      <c r="S32" s="197"/>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row>
    <row r="33" spans="1:85" s="199" customFormat="1" ht="15.6" x14ac:dyDescent="0.25">
      <c r="A33" s="427"/>
      <c r="B33" s="377" t="s">
        <v>447</v>
      </c>
      <c r="C33" s="68"/>
      <c r="D33" s="336"/>
      <c r="E33" s="337"/>
      <c r="F33" s="337"/>
      <c r="G33" s="337"/>
      <c r="H33" s="337"/>
      <c r="I33" s="197"/>
      <c r="J33" s="197"/>
      <c r="K33" s="197"/>
      <c r="L33" s="197"/>
      <c r="M33" s="197"/>
      <c r="N33" s="197"/>
      <c r="O33" s="197"/>
      <c r="P33" s="197"/>
      <c r="Q33" s="197"/>
      <c r="R33" s="197"/>
      <c r="S33" s="197"/>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row>
    <row r="34" spans="1:85" s="199" customFormat="1" x14ac:dyDescent="0.25">
      <c r="A34" s="331"/>
      <c r="B34" s="359" t="s">
        <v>240</v>
      </c>
      <c r="C34" s="68"/>
      <c r="D34" s="336"/>
      <c r="E34" s="337"/>
      <c r="F34" s="337"/>
      <c r="G34" s="337"/>
      <c r="H34" s="337"/>
      <c r="I34" s="197"/>
      <c r="J34" s="197"/>
      <c r="K34" s="197"/>
      <c r="L34" s="197"/>
      <c r="M34" s="197"/>
      <c r="N34" s="197"/>
      <c r="O34" s="197"/>
      <c r="P34" s="197"/>
      <c r="Q34" s="197"/>
      <c r="R34" s="197"/>
      <c r="S34" s="197"/>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row>
    <row r="35" spans="1:85" s="199" customFormat="1" x14ac:dyDescent="0.25">
      <c r="A35" s="331"/>
      <c r="B35" s="359" t="s">
        <v>307</v>
      </c>
      <c r="C35" s="68"/>
      <c r="D35" s="336"/>
      <c r="E35" s="337"/>
      <c r="F35" s="337"/>
      <c r="G35" s="337"/>
      <c r="H35" s="337"/>
      <c r="I35" s="197"/>
      <c r="J35" s="197"/>
      <c r="K35" s="197"/>
      <c r="L35" s="197"/>
      <c r="M35" s="197"/>
      <c r="N35" s="197"/>
      <c r="O35" s="197"/>
      <c r="P35" s="197"/>
      <c r="Q35" s="197"/>
      <c r="R35" s="197"/>
      <c r="S35" s="197"/>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row>
    <row r="36" spans="1:85" s="199" customFormat="1" x14ac:dyDescent="0.25">
      <c r="A36" s="331"/>
      <c r="B36" s="359" t="s">
        <v>308</v>
      </c>
      <c r="C36" s="68"/>
      <c r="D36" s="336"/>
      <c r="E36" s="337"/>
      <c r="F36" s="337"/>
      <c r="G36" s="337"/>
      <c r="H36" s="337"/>
      <c r="I36" s="197"/>
      <c r="J36" s="197"/>
      <c r="K36" s="197"/>
      <c r="L36" s="197"/>
      <c r="M36" s="197"/>
      <c r="N36" s="197"/>
      <c r="O36" s="197"/>
      <c r="P36" s="197"/>
      <c r="Q36" s="197"/>
      <c r="R36" s="197"/>
      <c r="S36" s="197"/>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row>
    <row r="37" spans="1:85" s="199" customFormat="1" x14ac:dyDescent="0.25">
      <c r="A37" s="331"/>
      <c r="B37" s="359" t="s">
        <v>363</v>
      </c>
      <c r="C37" s="68"/>
      <c r="D37" s="336"/>
      <c r="E37" s="337"/>
      <c r="F37" s="337"/>
      <c r="G37" s="337"/>
      <c r="H37" s="337"/>
      <c r="I37" s="197"/>
      <c r="J37" s="197"/>
      <c r="K37" s="197"/>
      <c r="L37" s="197"/>
      <c r="M37" s="197"/>
      <c r="N37" s="197"/>
      <c r="O37" s="197"/>
      <c r="P37" s="197"/>
      <c r="Q37" s="197"/>
      <c r="R37" s="197"/>
      <c r="S37" s="197"/>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row>
    <row r="38" spans="1:85" s="199" customFormat="1" x14ac:dyDescent="0.25">
      <c r="A38" s="331"/>
      <c r="B38" s="359" t="s">
        <v>170</v>
      </c>
      <c r="C38" s="68"/>
      <c r="D38" s="336"/>
      <c r="E38" s="337"/>
      <c r="F38" s="337"/>
      <c r="G38" s="337"/>
      <c r="H38" s="337"/>
      <c r="I38" s="197"/>
      <c r="J38" s="197"/>
      <c r="K38" s="197"/>
      <c r="L38" s="197"/>
      <c r="M38" s="197"/>
      <c r="N38" s="197"/>
      <c r="O38" s="197"/>
      <c r="P38" s="197"/>
      <c r="Q38" s="197"/>
      <c r="R38" s="197"/>
      <c r="S38" s="197"/>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row>
    <row r="39" spans="1:85" s="199" customFormat="1" x14ac:dyDescent="0.25">
      <c r="A39" s="331"/>
      <c r="B39" s="359" t="s">
        <v>309</v>
      </c>
      <c r="C39" s="68"/>
      <c r="D39" s="336"/>
      <c r="E39" s="337"/>
      <c r="F39" s="337"/>
      <c r="G39" s="337"/>
      <c r="H39" s="337"/>
      <c r="I39" s="197"/>
      <c r="J39" s="197"/>
      <c r="K39" s="197"/>
      <c r="L39" s="197"/>
      <c r="M39" s="197"/>
      <c r="N39" s="197"/>
      <c r="O39" s="197"/>
      <c r="P39" s="197"/>
      <c r="Q39" s="197"/>
      <c r="R39" s="197"/>
      <c r="S39" s="197"/>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row>
    <row r="40" spans="1:85" s="199" customFormat="1" x14ac:dyDescent="0.25">
      <c r="A40" s="331"/>
      <c r="B40" s="262" t="s">
        <v>372</v>
      </c>
      <c r="C40" s="68"/>
      <c r="D40" s="336"/>
      <c r="E40" s="337"/>
      <c r="F40" s="337"/>
      <c r="G40" s="337"/>
      <c r="H40" s="337"/>
      <c r="I40" s="197"/>
      <c r="J40" s="197"/>
      <c r="K40" s="197"/>
      <c r="L40" s="197"/>
      <c r="M40" s="197"/>
      <c r="N40" s="197"/>
      <c r="O40" s="197"/>
      <c r="P40" s="197"/>
      <c r="Q40" s="197"/>
      <c r="R40" s="197"/>
      <c r="S40" s="197"/>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row>
    <row r="41" spans="1:85" s="199" customFormat="1" x14ac:dyDescent="0.25">
      <c r="A41" s="331"/>
      <c r="B41" s="359" t="s">
        <v>310</v>
      </c>
      <c r="C41" s="68"/>
      <c r="D41" s="336"/>
      <c r="E41" s="337"/>
      <c r="F41" s="337"/>
      <c r="G41" s="337"/>
      <c r="H41" s="337"/>
      <c r="I41" s="197"/>
      <c r="J41" s="197"/>
      <c r="K41" s="197"/>
      <c r="L41" s="197"/>
      <c r="M41" s="197"/>
      <c r="N41" s="197"/>
      <c r="O41" s="197"/>
      <c r="P41" s="197"/>
      <c r="Q41" s="197"/>
      <c r="R41" s="197"/>
      <c r="S41" s="197"/>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row>
    <row r="42" spans="1:85" s="199" customFormat="1" x14ac:dyDescent="0.25">
      <c r="A42" s="331"/>
      <c r="B42" s="359" t="s">
        <v>365</v>
      </c>
      <c r="C42" s="68"/>
      <c r="D42" s="336"/>
      <c r="E42" s="337"/>
      <c r="F42" s="337"/>
      <c r="G42" s="337"/>
      <c r="H42" s="337"/>
      <c r="I42" s="197"/>
      <c r="J42" s="197"/>
      <c r="K42" s="197"/>
      <c r="L42" s="197"/>
      <c r="M42" s="197"/>
      <c r="N42" s="197"/>
      <c r="O42" s="197"/>
      <c r="P42" s="197"/>
      <c r="Q42" s="197"/>
      <c r="R42" s="197"/>
      <c r="S42" s="197"/>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row>
    <row r="43" spans="1:85" s="199" customFormat="1" x14ac:dyDescent="0.25">
      <c r="A43" s="331"/>
      <c r="B43" s="359" t="s">
        <v>113</v>
      </c>
      <c r="C43" s="68"/>
      <c r="D43" s="336"/>
      <c r="E43" s="337"/>
      <c r="F43" s="337"/>
      <c r="G43" s="337"/>
      <c r="H43" s="337"/>
      <c r="I43" s="197"/>
      <c r="J43" s="197"/>
      <c r="K43" s="197"/>
      <c r="L43" s="197"/>
      <c r="M43" s="197"/>
      <c r="N43" s="197"/>
      <c r="O43" s="197"/>
      <c r="P43" s="197"/>
      <c r="Q43" s="197"/>
      <c r="R43" s="197"/>
      <c r="S43" s="197"/>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row>
    <row r="44" spans="1:85" s="199" customFormat="1" x14ac:dyDescent="0.25">
      <c r="A44" s="360"/>
      <c r="B44" s="361" t="s">
        <v>352</v>
      </c>
      <c r="C44" s="69"/>
      <c r="D44" s="362"/>
      <c r="E44" s="363"/>
      <c r="F44" s="363"/>
      <c r="G44" s="363"/>
      <c r="H44" s="363"/>
      <c r="I44" s="197"/>
      <c r="J44" s="197"/>
      <c r="K44" s="197"/>
      <c r="L44" s="197"/>
      <c r="M44" s="197"/>
      <c r="N44" s="197"/>
      <c r="O44" s="197"/>
      <c r="P44" s="197"/>
      <c r="Q44" s="197"/>
      <c r="R44" s="197"/>
      <c r="S44" s="197"/>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row>
    <row r="45" spans="1:85" s="199" customFormat="1" ht="49.5" customHeight="1" x14ac:dyDescent="0.25">
      <c r="A45" s="1094" t="s">
        <v>435</v>
      </c>
      <c r="B45" s="1095"/>
      <c r="C45" s="971"/>
      <c r="D45" s="972"/>
      <c r="E45" s="373"/>
      <c r="F45" s="373"/>
      <c r="G45" s="373"/>
      <c r="H45" s="373"/>
      <c r="I45" s="197"/>
      <c r="J45" s="197"/>
      <c r="K45" s="197"/>
      <c r="L45" s="197"/>
      <c r="M45" s="197"/>
      <c r="N45" s="197"/>
      <c r="O45" s="197"/>
      <c r="P45" s="197"/>
      <c r="Q45" s="197"/>
      <c r="R45" s="197"/>
      <c r="S45" s="197"/>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row>
    <row r="46" spans="1:85" s="199" customFormat="1" ht="15" customHeight="1" x14ac:dyDescent="0.25">
      <c r="A46" s="1025"/>
      <c r="B46" s="1026" t="s">
        <v>479</v>
      </c>
      <c r="C46" s="976"/>
      <c r="D46" s="977"/>
      <c r="E46" s="978"/>
      <c r="F46" s="978"/>
      <c r="G46" s="978"/>
      <c r="H46" s="978"/>
      <c r="I46" s="197"/>
      <c r="J46" s="197"/>
      <c r="K46" s="197"/>
      <c r="L46" s="197"/>
      <c r="M46" s="197"/>
      <c r="N46" s="197"/>
      <c r="O46" s="197"/>
      <c r="P46" s="197"/>
      <c r="Q46" s="197"/>
      <c r="R46" s="197"/>
      <c r="S46" s="197"/>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row>
    <row r="47" spans="1:85" s="199" customFormat="1" x14ac:dyDescent="0.25">
      <c r="A47" s="1018"/>
      <c r="B47" s="1019" t="s">
        <v>439</v>
      </c>
      <c r="C47" s="976"/>
      <c r="D47" s="336"/>
      <c r="E47" s="337"/>
      <c r="F47" s="337"/>
      <c r="G47" s="337"/>
      <c r="H47" s="337"/>
      <c r="I47" s="197"/>
      <c r="J47" s="197"/>
      <c r="K47" s="197"/>
      <c r="L47" s="197"/>
      <c r="M47" s="197"/>
      <c r="N47" s="197"/>
      <c r="O47" s="197"/>
      <c r="P47" s="197"/>
      <c r="Q47" s="197"/>
      <c r="R47" s="197"/>
      <c r="S47" s="197"/>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row>
    <row r="48" spans="1:85" s="199" customFormat="1" x14ac:dyDescent="0.25">
      <c r="A48" s="1018"/>
      <c r="B48" s="1019" t="s">
        <v>424</v>
      </c>
      <c r="C48" s="976"/>
      <c r="D48" s="336"/>
      <c r="E48" s="337"/>
      <c r="F48" s="337"/>
      <c r="G48" s="337"/>
      <c r="H48" s="337"/>
      <c r="I48" s="197"/>
      <c r="J48" s="197"/>
      <c r="K48" s="197"/>
      <c r="L48" s="197"/>
      <c r="M48" s="197"/>
      <c r="N48" s="197"/>
      <c r="O48" s="197"/>
      <c r="P48" s="197"/>
      <c r="Q48" s="197"/>
      <c r="R48" s="197"/>
      <c r="S48" s="197"/>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row>
    <row r="49" spans="1:85" s="199" customFormat="1" x14ac:dyDescent="0.25">
      <c r="A49" s="1018"/>
      <c r="B49" s="1019" t="s">
        <v>438</v>
      </c>
      <c r="C49" s="976"/>
      <c r="D49" s="336"/>
      <c r="E49" s="337"/>
      <c r="F49" s="337"/>
      <c r="G49" s="337"/>
      <c r="H49" s="337"/>
      <c r="I49" s="197"/>
      <c r="J49" s="197"/>
      <c r="K49" s="197"/>
      <c r="L49" s="197"/>
      <c r="M49" s="197"/>
      <c r="N49" s="197"/>
      <c r="O49" s="197"/>
      <c r="P49" s="197"/>
      <c r="Q49" s="197"/>
      <c r="R49" s="197"/>
      <c r="S49" s="197"/>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row>
    <row r="50" spans="1:85" s="199" customFormat="1" x14ac:dyDescent="0.25">
      <c r="A50" s="1018"/>
      <c r="B50" s="1019" t="s">
        <v>480</v>
      </c>
      <c r="C50" s="976"/>
      <c r="D50" s="336"/>
      <c r="E50" s="337"/>
      <c r="F50" s="337"/>
      <c r="G50" s="337"/>
      <c r="H50" s="337"/>
      <c r="I50" s="197"/>
      <c r="J50" s="197"/>
      <c r="K50" s="197"/>
      <c r="L50" s="197"/>
      <c r="M50" s="197"/>
      <c r="N50" s="197"/>
      <c r="O50" s="197"/>
      <c r="P50" s="197"/>
      <c r="Q50" s="197"/>
      <c r="R50" s="197"/>
      <c r="S50" s="197"/>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row>
    <row r="51" spans="1:85" s="199" customFormat="1" x14ac:dyDescent="0.25">
      <c r="A51" s="1018"/>
      <c r="B51" s="1019" t="s">
        <v>432</v>
      </c>
      <c r="C51" s="68"/>
      <c r="D51" s="336"/>
      <c r="E51" s="337"/>
      <c r="F51" s="337"/>
      <c r="G51" s="337"/>
      <c r="H51" s="337"/>
      <c r="I51" s="197"/>
      <c r="J51" s="197"/>
      <c r="K51" s="197"/>
      <c r="L51" s="197"/>
      <c r="M51" s="197"/>
      <c r="N51" s="197"/>
      <c r="O51" s="197"/>
      <c r="P51" s="197"/>
      <c r="Q51" s="197"/>
      <c r="R51" s="197"/>
      <c r="S51" s="197"/>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row>
    <row r="52" spans="1:85" s="199" customFormat="1" x14ac:dyDescent="0.25">
      <c r="A52" s="1020"/>
      <c r="B52" s="1021" t="s">
        <v>478</v>
      </c>
      <c r="C52" s="973"/>
      <c r="D52" s="336"/>
      <c r="E52" s="337"/>
      <c r="F52" s="337"/>
      <c r="G52" s="337"/>
      <c r="H52" s="337"/>
      <c r="I52" s="197"/>
      <c r="J52" s="197"/>
      <c r="K52" s="197"/>
      <c r="L52" s="197"/>
      <c r="M52" s="197"/>
      <c r="N52" s="197"/>
      <c r="O52" s="197"/>
      <c r="P52" s="197"/>
      <c r="Q52" s="197"/>
      <c r="R52" s="197"/>
      <c r="S52" s="197"/>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row>
    <row r="53" spans="1:85" s="199" customFormat="1" x14ac:dyDescent="0.25">
      <c r="A53" s="1018"/>
      <c r="B53" s="1019" t="s">
        <v>429</v>
      </c>
      <c r="C53" s="68"/>
      <c r="D53" s="336"/>
      <c r="E53" s="337"/>
      <c r="F53" s="337"/>
      <c r="G53" s="337"/>
      <c r="H53" s="337"/>
      <c r="I53" s="197"/>
      <c r="J53" s="197"/>
      <c r="K53" s="197"/>
      <c r="L53" s="197"/>
      <c r="M53" s="197"/>
      <c r="N53" s="197"/>
      <c r="O53" s="197"/>
      <c r="P53" s="197"/>
      <c r="Q53" s="197"/>
      <c r="R53" s="197"/>
      <c r="S53" s="197"/>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row>
    <row r="54" spans="1:85" s="199" customFormat="1" x14ac:dyDescent="0.25">
      <c r="A54" s="1018"/>
      <c r="B54" s="1019" t="s">
        <v>427</v>
      </c>
      <c r="C54" s="68"/>
      <c r="D54" s="336"/>
      <c r="E54" s="337"/>
      <c r="F54" s="337"/>
      <c r="G54" s="337"/>
      <c r="H54" s="337"/>
      <c r="I54" s="197"/>
      <c r="J54" s="197"/>
      <c r="K54" s="197"/>
      <c r="L54" s="197"/>
      <c r="M54" s="197"/>
      <c r="N54" s="197"/>
      <c r="O54" s="197"/>
      <c r="P54" s="197"/>
      <c r="Q54" s="197"/>
      <c r="R54" s="197"/>
      <c r="S54" s="197"/>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row>
    <row r="55" spans="1:85" s="199" customFormat="1" x14ac:dyDescent="0.25">
      <c r="A55" s="1018"/>
      <c r="B55" s="1019" t="s">
        <v>481</v>
      </c>
      <c r="C55" s="68"/>
      <c r="D55" s="336"/>
      <c r="E55" s="337"/>
      <c r="F55" s="337"/>
      <c r="G55" s="337"/>
      <c r="H55" s="337"/>
      <c r="I55" s="197"/>
      <c r="J55" s="197"/>
      <c r="K55" s="197"/>
      <c r="L55" s="197"/>
      <c r="M55" s="197"/>
      <c r="N55" s="197"/>
      <c r="O55" s="197"/>
      <c r="P55" s="197"/>
      <c r="Q55" s="197"/>
      <c r="R55" s="197"/>
      <c r="S55" s="197"/>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row>
    <row r="56" spans="1:85" s="199" customFormat="1" x14ac:dyDescent="0.25">
      <c r="A56" s="1018"/>
      <c r="B56" s="1019" t="s">
        <v>482</v>
      </c>
      <c r="C56" s="68"/>
      <c r="D56" s="336"/>
      <c r="E56" s="337"/>
      <c r="F56" s="337"/>
      <c r="G56" s="337"/>
      <c r="H56" s="337"/>
      <c r="I56" s="197"/>
      <c r="J56" s="197"/>
      <c r="K56" s="197"/>
      <c r="L56" s="197"/>
      <c r="M56" s="197"/>
      <c r="N56" s="197"/>
      <c r="O56" s="197"/>
      <c r="P56" s="197"/>
      <c r="Q56" s="197"/>
      <c r="R56" s="197"/>
      <c r="S56" s="197"/>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row>
    <row r="57" spans="1:85" s="199" customFormat="1" x14ac:dyDescent="0.25">
      <c r="A57" s="1018"/>
      <c r="B57" s="1019" t="s">
        <v>434</v>
      </c>
      <c r="C57" s="68"/>
      <c r="D57" s="336"/>
      <c r="E57" s="337"/>
      <c r="F57" s="337"/>
      <c r="G57" s="337"/>
      <c r="H57" s="337"/>
      <c r="I57" s="197"/>
      <c r="J57" s="197"/>
      <c r="K57" s="197"/>
      <c r="L57" s="197"/>
      <c r="M57" s="197"/>
      <c r="N57" s="197"/>
      <c r="O57" s="197"/>
      <c r="P57" s="197"/>
      <c r="Q57" s="197"/>
      <c r="R57" s="197"/>
      <c r="S57" s="197"/>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row>
    <row r="58" spans="1:85" s="199" customFormat="1" x14ac:dyDescent="0.25">
      <c r="A58" s="1018"/>
      <c r="B58" s="1019" t="s">
        <v>483</v>
      </c>
      <c r="C58" s="68"/>
      <c r="D58" s="336"/>
      <c r="E58" s="337"/>
      <c r="F58" s="337"/>
      <c r="G58" s="337"/>
      <c r="H58" s="337"/>
      <c r="I58" s="197"/>
      <c r="J58" s="197"/>
      <c r="K58" s="197"/>
      <c r="L58" s="197"/>
      <c r="M58" s="197"/>
      <c r="N58" s="197"/>
      <c r="O58" s="197"/>
      <c r="P58" s="197"/>
      <c r="Q58" s="197"/>
      <c r="R58" s="197"/>
      <c r="S58" s="197"/>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row>
    <row r="59" spans="1:85" s="199" customFormat="1" x14ac:dyDescent="0.25">
      <c r="A59" s="1018"/>
      <c r="B59" s="1019" t="s">
        <v>484</v>
      </c>
      <c r="C59" s="68"/>
      <c r="D59" s="336"/>
      <c r="E59" s="337"/>
      <c r="F59" s="337"/>
      <c r="G59" s="337"/>
      <c r="H59" s="337"/>
      <c r="I59" s="197"/>
      <c r="J59" s="197"/>
      <c r="K59" s="197"/>
      <c r="L59" s="197"/>
      <c r="M59" s="197"/>
      <c r="N59" s="197"/>
      <c r="O59" s="197"/>
      <c r="P59" s="197"/>
      <c r="Q59" s="197"/>
      <c r="R59" s="197"/>
      <c r="S59" s="197"/>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row>
    <row r="60" spans="1:85" s="199" customFormat="1" x14ac:dyDescent="0.25">
      <c r="A60" s="1018"/>
      <c r="B60" s="1019" t="s">
        <v>512</v>
      </c>
      <c r="C60" s="68"/>
      <c r="D60" s="336"/>
      <c r="E60" s="337"/>
      <c r="F60" s="337"/>
      <c r="G60" s="337"/>
      <c r="H60" s="337"/>
      <c r="I60" s="197"/>
      <c r="J60" s="197"/>
      <c r="K60" s="197"/>
      <c r="L60" s="197"/>
      <c r="M60" s="197"/>
      <c r="N60" s="197"/>
      <c r="O60" s="197"/>
      <c r="P60" s="197"/>
      <c r="Q60" s="197"/>
      <c r="R60" s="197"/>
      <c r="S60" s="197"/>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row>
    <row r="61" spans="1:85" s="199" customFormat="1" x14ac:dyDescent="0.25">
      <c r="A61" s="1018"/>
      <c r="B61" s="1019" t="s">
        <v>430</v>
      </c>
      <c r="C61" s="68"/>
      <c r="D61" s="336"/>
      <c r="E61" s="337"/>
      <c r="F61" s="337"/>
      <c r="G61" s="337"/>
      <c r="H61" s="337"/>
      <c r="I61" s="197"/>
      <c r="J61" s="197"/>
      <c r="K61" s="197"/>
      <c r="L61" s="197"/>
      <c r="M61" s="197"/>
      <c r="N61" s="197"/>
      <c r="O61" s="197"/>
      <c r="P61" s="197"/>
      <c r="Q61" s="197"/>
      <c r="R61" s="197"/>
      <c r="S61" s="197"/>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row>
    <row r="62" spans="1:85" s="199" customFormat="1" x14ac:dyDescent="0.25">
      <c r="A62" s="1018"/>
      <c r="B62" s="1019" t="s">
        <v>426</v>
      </c>
      <c r="C62" s="68"/>
      <c r="D62" s="336"/>
      <c r="E62" s="337"/>
      <c r="F62" s="337"/>
      <c r="G62" s="337"/>
      <c r="H62" s="337"/>
      <c r="I62" s="197"/>
      <c r="J62" s="197"/>
      <c r="K62" s="197"/>
      <c r="L62" s="197"/>
      <c r="M62" s="197"/>
      <c r="N62" s="197"/>
      <c r="O62" s="197"/>
      <c r="P62" s="197"/>
      <c r="Q62" s="197"/>
      <c r="R62" s="197"/>
      <c r="S62" s="197"/>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row>
    <row r="63" spans="1:85" s="199" customFormat="1" x14ac:dyDescent="0.25">
      <c r="A63" s="1018"/>
      <c r="B63" s="1019" t="s">
        <v>436</v>
      </c>
      <c r="C63" s="68"/>
      <c r="D63" s="336"/>
      <c r="E63" s="337"/>
      <c r="F63" s="337"/>
      <c r="G63" s="337"/>
      <c r="H63" s="337"/>
      <c r="I63" s="197"/>
      <c r="J63" s="197"/>
      <c r="K63" s="197"/>
      <c r="L63" s="197"/>
      <c r="M63" s="197"/>
      <c r="N63" s="197"/>
      <c r="O63" s="197"/>
      <c r="P63" s="197"/>
      <c r="Q63" s="197"/>
      <c r="R63" s="197"/>
      <c r="S63" s="197"/>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row>
    <row r="64" spans="1:85" s="199" customFormat="1" x14ac:dyDescent="0.25">
      <c r="A64" s="1018"/>
      <c r="B64" s="1019" t="s">
        <v>428</v>
      </c>
      <c r="C64" s="68"/>
      <c r="D64" s="336"/>
      <c r="E64" s="337"/>
      <c r="F64" s="337"/>
      <c r="G64" s="337"/>
      <c r="H64" s="337"/>
      <c r="I64" s="197"/>
      <c r="J64" s="197"/>
      <c r="K64" s="197"/>
      <c r="L64" s="197"/>
      <c r="M64" s="197"/>
      <c r="N64" s="197"/>
      <c r="O64" s="197"/>
      <c r="P64" s="197"/>
      <c r="Q64" s="197"/>
      <c r="R64" s="197"/>
      <c r="S64" s="197"/>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row>
    <row r="65" spans="1:85" s="199" customFormat="1" x14ac:dyDescent="0.25">
      <c r="A65" s="1018"/>
      <c r="B65" s="1019" t="s">
        <v>431</v>
      </c>
      <c r="C65" s="68"/>
      <c r="D65" s="336"/>
      <c r="E65" s="337"/>
      <c r="F65" s="337"/>
      <c r="G65" s="337"/>
      <c r="H65" s="337"/>
      <c r="I65" s="197"/>
      <c r="J65" s="197"/>
      <c r="K65" s="197"/>
      <c r="L65" s="197"/>
      <c r="M65" s="197"/>
      <c r="N65" s="197"/>
      <c r="O65" s="197"/>
      <c r="P65" s="197"/>
      <c r="Q65" s="197"/>
      <c r="R65" s="197"/>
      <c r="S65" s="197"/>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row>
    <row r="66" spans="1:85" s="199" customFormat="1" x14ac:dyDescent="0.25">
      <c r="A66" s="1018"/>
      <c r="B66" s="1019" t="s">
        <v>425</v>
      </c>
      <c r="C66" s="68"/>
      <c r="D66" s="336"/>
      <c r="E66" s="337"/>
      <c r="F66" s="337"/>
      <c r="G66" s="337"/>
      <c r="H66" s="337"/>
      <c r="I66" s="197"/>
      <c r="J66" s="197"/>
      <c r="K66" s="197"/>
      <c r="L66" s="197"/>
      <c r="M66" s="197"/>
      <c r="N66" s="197"/>
      <c r="O66" s="197"/>
      <c r="P66" s="197"/>
      <c r="Q66" s="197"/>
      <c r="R66" s="197"/>
      <c r="S66" s="197"/>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row>
    <row r="67" spans="1:85" s="199" customFormat="1" x14ac:dyDescent="0.25">
      <c r="A67" s="1018"/>
      <c r="B67" s="1019" t="s">
        <v>433</v>
      </c>
      <c r="C67" s="68"/>
      <c r="D67" s="336"/>
      <c r="E67" s="337"/>
      <c r="F67" s="337"/>
      <c r="G67" s="337"/>
      <c r="H67" s="337"/>
      <c r="I67" s="197"/>
      <c r="J67" s="197"/>
      <c r="K67" s="197"/>
      <c r="L67" s="197"/>
      <c r="M67" s="197"/>
      <c r="N67" s="197"/>
      <c r="O67" s="197"/>
      <c r="P67" s="197"/>
      <c r="Q67" s="197"/>
      <c r="R67" s="197"/>
      <c r="S67" s="197"/>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row>
    <row r="68" spans="1:85" s="199" customFormat="1" x14ac:dyDescent="0.25">
      <c r="A68" s="1020"/>
      <c r="B68" s="1021" t="s">
        <v>513</v>
      </c>
      <c r="C68" s="973"/>
      <c r="D68" s="974"/>
      <c r="E68" s="975"/>
      <c r="F68" s="975"/>
      <c r="G68" s="975"/>
      <c r="H68" s="975"/>
      <c r="I68" s="197"/>
      <c r="J68" s="197"/>
      <c r="K68" s="197"/>
      <c r="L68" s="197"/>
      <c r="M68" s="197"/>
      <c r="N68" s="197"/>
      <c r="O68" s="197"/>
      <c r="P68" s="197"/>
      <c r="Q68" s="197"/>
      <c r="R68" s="197"/>
      <c r="S68" s="197"/>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row>
    <row r="69" spans="1:85" s="199" customFormat="1" x14ac:dyDescent="0.25">
      <c r="A69" s="1022" t="s">
        <v>437</v>
      </c>
      <c r="B69" s="1023"/>
      <c r="C69" s="69"/>
      <c r="D69" s="362"/>
      <c r="E69" s="363"/>
      <c r="F69" s="363"/>
      <c r="G69" s="363"/>
      <c r="H69" s="363"/>
      <c r="I69" s="197"/>
      <c r="J69" s="197"/>
      <c r="K69" s="197"/>
      <c r="L69" s="197"/>
      <c r="M69" s="197"/>
      <c r="N69" s="197"/>
      <c r="O69" s="197"/>
      <c r="P69" s="197"/>
      <c r="Q69" s="197"/>
      <c r="R69" s="197"/>
      <c r="S69" s="197"/>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row>
    <row r="70" spans="1:85" s="199" customFormat="1" ht="15.6" x14ac:dyDescent="0.25">
      <c r="A70" s="364" t="s">
        <v>114</v>
      </c>
      <c r="B70" s="316"/>
      <c r="C70" s="365" t="s">
        <v>522</v>
      </c>
      <c r="D70" s="366"/>
      <c r="E70" s="367"/>
      <c r="F70" s="367"/>
      <c r="G70" s="367"/>
      <c r="H70" s="367"/>
      <c r="I70" s="197"/>
      <c r="J70" s="197"/>
      <c r="K70" s="197"/>
      <c r="L70" s="197"/>
      <c r="M70" s="197"/>
      <c r="N70" s="197"/>
      <c r="O70" s="197"/>
      <c r="P70" s="197"/>
      <c r="Q70" s="197"/>
      <c r="R70" s="197"/>
      <c r="S70" s="197"/>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row>
    <row r="71" spans="1:85" s="199" customFormat="1" x14ac:dyDescent="0.25">
      <c r="A71" s="322"/>
      <c r="B71" s="323" t="s">
        <v>22</v>
      </c>
      <c r="C71" s="368"/>
      <c r="D71" s="369"/>
      <c r="E71" s="370"/>
      <c r="F71" s="370"/>
      <c r="G71" s="370"/>
      <c r="H71" s="370"/>
      <c r="I71" s="197"/>
      <c r="J71" s="197"/>
      <c r="K71" s="197"/>
      <c r="L71" s="197"/>
      <c r="M71" s="197"/>
      <c r="N71" s="197"/>
      <c r="O71" s="197"/>
      <c r="P71" s="197"/>
      <c r="Q71" s="197"/>
      <c r="R71" s="197"/>
      <c r="S71" s="197"/>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row>
    <row r="72" spans="1:85" s="199" customFormat="1" ht="15.6" x14ac:dyDescent="0.25">
      <c r="A72" s="364" t="s">
        <v>115</v>
      </c>
      <c r="B72" s="316"/>
      <c r="C72" s="365">
        <v>50000</v>
      </c>
      <c r="D72" s="366"/>
      <c r="E72" s="367"/>
      <c r="F72" s="367"/>
      <c r="G72" s="367"/>
      <c r="H72" s="367"/>
      <c r="I72" s="197"/>
      <c r="J72" s="197"/>
      <c r="K72" s="197"/>
      <c r="L72" s="197"/>
      <c r="M72" s="197"/>
      <c r="N72" s="197"/>
      <c r="O72" s="197"/>
      <c r="P72" s="197"/>
      <c r="Q72" s="197"/>
      <c r="R72" s="197"/>
      <c r="S72" s="197"/>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row>
    <row r="73" spans="1:85" s="199" customFormat="1" ht="15.75" customHeight="1" x14ac:dyDescent="0.25">
      <c r="A73" s="322"/>
      <c r="B73" s="323" t="s">
        <v>22</v>
      </c>
      <c r="C73" s="368" t="s">
        <v>1467</v>
      </c>
      <c r="D73" s="369"/>
      <c r="E73" s="370"/>
      <c r="F73" s="370"/>
      <c r="G73" s="370"/>
      <c r="H73" s="370"/>
      <c r="I73" s="197"/>
      <c r="J73" s="197"/>
      <c r="K73" s="197"/>
      <c r="L73" s="197"/>
      <c r="M73" s="197"/>
      <c r="N73" s="197"/>
      <c r="O73" s="197"/>
      <c r="P73" s="197"/>
      <c r="Q73" s="197"/>
      <c r="R73" s="197"/>
      <c r="S73" s="197"/>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row>
    <row r="74" spans="1:85" s="199" customFormat="1" ht="15.6" x14ac:dyDescent="0.25">
      <c r="A74" s="838" t="s">
        <v>353</v>
      </c>
      <c r="B74" s="327"/>
      <c r="C74" s="371"/>
      <c r="D74" s="372"/>
      <c r="E74" s="373"/>
      <c r="F74" s="373"/>
      <c r="G74" s="373"/>
      <c r="H74" s="373"/>
      <c r="I74" s="197"/>
      <c r="J74" s="197"/>
      <c r="K74" s="197"/>
      <c r="L74" s="197"/>
      <c r="M74" s="197"/>
      <c r="N74" s="197"/>
      <c r="O74" s="197"/>
      <c r="P74" s="197"/>
      <c r="Q74" s="197"/>
      <c r="R74" s="197"/>
      <c r="S74" s="197"/>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row>
    <row r="75" spans="1:85" s="199" customFormat="1" ht="15.6" x14ac:dyDescent="0.25">
      <c r="A75" s="374"/>
      <c r="B75" s="332" t="s">
        <v>354</v>
      </c>
      <c r="C75" s="375">
        <f>+C9</f>
        <v>1007094699</v>
      </c>
      <c r="D75" s="376"/>
      <c r="E75" s="337"/>
      <c r="F75" s="337"/>
      <c r="G75" s="337"/>
      <c r="H75" s="337"/>
      <c r="I75" s="197"/>
      <c r="J75" s="197"/>
      <c r="K75" s="197"/>
      <c r="L75" s="197"/>
      <c r="M75" s="197"/>
      <c r="N75" s="197"/>
      <c r="O75" s="197"/>
      <c r="P75" s="197"/>
      <c r="Q75" s="197"/>
      <c r="R75" s="197"/>
      <c r="S75" s="197"/>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row>
    <row r="76" spans="1:85" s="199" customFormat="1" ht="15.6" x14ac:dyDescent="0.25">
      <c r="A76" s="374"/>
      <c r="B76" s="332" t="s">
        <v>243</v>
      </c>
      <c r="C76" s="375">
        <f>+C75</f>
        <v>1007094699</v>
      </c>
      <c r="D76" s="376"/>
      <c r="E76" s="337"/>
      <c r="F76" s="337"/>
      <c r="G76" s="337"/>
      <c r="H76" s="337"/>
      <c r="I76" s="197"/>
      <c r="J76" s="197"/>
      <c r="K76" s="197"/>
      <c r="L76" s="197"/>
      <c r="M76" s="197"/>
      <c r="N76" s="197"/>
      <c r="O76" s="197"/>
      <c r="P76" s="197"/>
      <c r="Q76" s="197"/>
      <c r="R76" s="197"/>
      <c r="S76" s="197"/>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row>
    <row r="77" spans="1:85" s="199" customFormat="1" ht="15.6" x14ac:dyDescent="0.25">
      <c r="A77" s="374"/>
      <c r="B77" s="332" t="s">
        <v>116</v>
      </c>
      <c r="C77" s="375" t="s">
        <v>10</v>
      </c>
      <c r="D77" s="376"/>
      <c r="E77" s="337"/>
      <c r="F77" s="337"/>
      <c r="G77" s="337"/>
      <c r="H77" s="337"/>
      <c r="I77" s="197"/>
      <c r="J77" s="197"/>
      <c r="K77" s="197"/>
      <c r="L77" s="197"/>
      <c r="M77" s="197"/>
      <c r="N77" s="197"/>
      <c r="O77" s="197"/>
      <c r="P77" s="197"/>
      <c r="Q77" s="197"/>
      <c r="R77" s="197"/>
      <c r="S77" s="197"/>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row>
    <row r="78" spans="1:85" s="199" customFormat="1" ht="15.6" x14ac:dyDescent="0.25">
      <c r="A78" s="374"/>
      <c r="B78" s="377" t="s">
        <v>355</v>
      </c>
      <c r="C78" s="375">
        <v>250000</v>
      </c>
      <c r="D78" s="376"/>
      <c r="E78" s="337"/>
      <c r="F78" s="337"/>
      <c r="G78" s="337"/>
      <c r="H78" s="337"/>
      <c r="I78" s="197"/>
      <c r="J78" s="197"/>
      <c r="K78" s="197"/>
      <c r="L78" s="197"/>
      <c r="M78" s="197"/>
      <c r="N78" s="197"/>
      <c r="O78" s="197"/>
      <c r="P78" s="197"/>
      <c r="Q78" s="197"/>
      <c r="R78" s="197"/>
      <c r="S78" s="197"/>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row>
    <row r="79" spans="1:85" s="199" customFormat="1" ht="15.6" x14ac:dyDescent="0.25">
      <c r="A79" s="374"/>
      <c r="B79" s="378" t="s">
        <v>356</v>
      </c>
      <c r="C79" s="375">
        <v>250000</v>
      </c>
      <c r="D79" s="376"/>
      <c r="E79" s="337"/>
      <c r="F79" s="337"/>
      <c r="G79" s="337"/>
      <c r="H79" s="337"/>
      <c r="I79" s="197"/>
      <c r="J79" s="197"/>
      <c r="K79" s="197"/>
      <c r="L79" s="197"/>
      <c r="M79" s="197"/>
      <c r="N79" s="197"/>
      <c r="O79" s="197"/>
      <c r="P79" s="197"/>
      <c r="Q79" s="197"/>
      <c r="R79" s="197"/>
      <c r="S79" s="197"/>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row>
    <row r="80" spans="1:85" s="199" customFormat="1" ht="45" x14ac:dyDescent="0.25">
      <c r="A80" s="374"/>
      <c r="B80" s="379" t="s">
        <v>357</v>
      </c>
      <c r="C80" s="380"/>
      <c r="D80" s="381"/>
      <c r="E80" s="334"/>
      <c r="F80" s="334"/>
      <c r="G80" s="334"/>
      <c r="H80" s="334"/>
      <c r="I80" s="197"/>
      <c r="J80" s="197"/>
      <c r="K80" s="197"/>
      <c r="L80" s="197"/>
      <c r="M80" s="197"/>
      <c r="N80" s="197"/>
      <c r="O80" s="197"/>
      <c r="P80" s="197"/>
      <c r="Q80" s="197"/>
      <c r="R80" s="197"/>
      <c r="S80" s="197"/>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row>
    <row r="81" spans="1:85" s="199" customFormat="1" x14ac:dyDescent="0.25">
      <c r="A81" s="331"/>
      <c r="B81" s="382" t="s">
        <v>117</v>
      </c>
      <c r="C81" s="380"/>
      <c r="D81" s="381"/>
      <c r="E81" s="334"/>
      <c r="F81" s="334"/>
      <c r="G81" s="334"/>
      <c r="H81" s="334"/>
      <c r="I81" s="197"/>
      <c r="J81" s="197"/>
      <c r="K81" s="197"/>
      <c r="L81" s="197"/>
      <c r="M81" s="197"/>
      <c r="N81" s="197"/>
      <c r="O81" s="197"/>
      <c r="P81" s="197"/>
      <c r="Q81" s="197"/>
      <c r="R81" s="197"/>
      <c r="S81" s="197"/>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row>
    <row r="82" spans="1:85" s="199" customFormat="1" x14ac:dyDescent="0.25">
      <c r="A82" s="331"/>
      <c r="B82" s="383" t="s">
        <v>105</v>
      </c>
      <c r="C82" s="380"/>
      <c r="D82" s="381"/>
      <c r="E82" s="334"/>
      <c r="F82" s="334"/>
      <c r="G82" s="334"/>
      <c r="H82" s="334"/>
      <c r="I82" s="197"/>
      <c r="J82" s="197"/>
      <c r="K82" s="197"/>
      <c r="L82" s="197"/>
      <c r="M82" s="197"/>
      <c r="N82" s="197"/>
      <c r="O82" s="197"/>
      <c r="P82" s="197"/>
      <c r="Q82" s="197"/>
      <c r="R82" s="197"/>
      <c r="S82" s="197"/>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row>
    <row r="83" spans="1:85" s="199" customFormat="1" ht="45" x14ac:dyDescent="0.25">
      <c r="A83" s="331"/>
      <c r="B83" s="379" t="s">
        <v>155</v>
      </c>
      <c r="C83" s="384"/>
      <c r="D83" s="381"/>
      <c r="E83" s="334"/>
      <c r="F83" s="334"/>
      <c r="G83" s="334"/>
      <c r="H83" s="334"/>
      <c r="I83" s="197"/>
      <c r="J83" s="197"/>
      <c r="K83" s="197"/>
      <c r="L83" s="197"/>
      <c r="M83" s="197"/>
      <c r="N83" s="197"/>
      <c r="O83" s="197"/>
      <c r="P83" s="197"/>
      <c r="Q83" s="197"/>
      <c r="R83" s="197"/>
      <c r="S83" s="197"/>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row>
    <row r="84" spans="1:85" s="199" customFormat="1" x14ac:dyDescent="0.25">
      <c r="A84" s="331"/>
      <c r="B84" s="383" t="s">
        <v>106</v>
      </c>
      <c r="C84" s="385"/>
      <c r="D84" s="386"/>
      <c r="E84" s="387"/>
      <c r="F84" s="387"/>
      <c r="G84" s="387"/>
      <c r="H84" s="387"/>
      <c r="I84" s="197"/>
      <c r="J84" s="197"/>
      <c r="K84" s="197"/>
      <c r="L84" s="197"/>
      <c r="M84" s="197"/>
      <c r="N84" s="197"/>
      <c r="O84" s="197"/>
      <c r="P84" s="197"/>
      <c r="Q84" s="197"/>
      <c r="R84" s="197"/>
      <c r="S84" s="197"/>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row>
    <row r="85" spans="1:85" s="199" customFormat="1" x14ac:dyDescent="0.25">
      <c r="A85" s="331"/>
      <c r="B85" s="383" t="s">
        <v>154</v>
      </c>
      <c r="C85" s="385"/>
      <c r="D85" s="386"/>
      <c r="E85" s="387"/>
      <c r="F85" s="387"/>
      <c r="G85" s="387"/>
      <c r="H85" s="387"/>
      <c r="I85" s="197"/>
      <c r="J85" s="197"/>
      <c r="K85" s="197"/>
      <c r="L85" s="197"/>
      <c r="M85" s="197"/>
      <c r="N85" s="197"/>
      <c r="O85" s="197"/>
      <c r="P85" s="197"/>
      <c r="Q85" s="197"/>
      <c r="R85" s="197"/>
      <c r="S85" s="197"/>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row>
    <row r="86" spans="1:85" s="199" customFormat="1" x14ac:dyDescent="0.25">
      <c r="A86" s="360"/>
      <c r="B86" s="388" t="s">
        <v>39</v>
      </c>
      <c r="C86" s="389"/>
      <c r="D86" s="390"/>
      <c r="E86" s="391"/>
      <c r="F86" s="391"/>
      <c r="G86" s="391"/>
      <c r="H86" s="391"/>
      <c r="I86" s="197"/>
      <c r="J86" s="197"/>
      <c r="K86" s="197"/>
      <c r="L86" s="197"/>
      <c r="M86" s="197"/>
      <c r="N86" s="197"/>
      <c r="O86" s="197"/>
      <c r="P86" s="197"/>
      <c r="Q86" s="197"/>
      <c r="R86" s="197"/>
      <c r="S86" s="197"/>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row>
    <row r="87" spans="1:85" s="199" customFormat="1" x14ac:dyDescent="0.25">
      <c r="A87" s="394" t="s">
        <v>185</v>
      </c>
      <c r="B87" s="395"/>
      <c r="C87" s="396"/>
      <c r="D87" s="397"/>
      <c r="E87" s="398"/>
      <c r="F87" s="398"/>
      <c r="G87" s="398"/>
      <c r="H87" s="398"/>
      <c r="I87" s="197"/>
      <c r="J87" s="197"/>
      <c r="K87" s="197"/>
      <c r="L87" s="197"/>
      <c r="M87" s="197"/>
      <c r="N87" s="197"/>
      <c r="O87" s="197"/>
      <c r="P87" s="197"/>
      <c r="Q87" s="197"/>
      <c r="R87" s="197"/>
      <c r="S87" s="197"/>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row>
    <row r="88" spans="1:85" s="199" customFormat="1" ht="15.6" x14ac:dyDescent="0.25">
      <c r="A88" s="775" t="s">
        <v>511</v>
      </c>
      <c r="B88" s="399"/>
      <c r="C88" s="568" t="s">
        <v>522</v>
      </c>
      <c r="D88" s="569"/>
      <c r="E88" s="330"/>
      <c r="F88" s="330"/>
      <c r="G88" s="330"/>
      <c r="H88" s="330"/>
      <c r="I88" s="197"/>
      <c r="J88" s="197"/>
      <c r="K88" s="197"/>
      <c r="L88" s="197"/>
      <c r="M88" s="197"/>
      <c r="N88" s="197"/>
      <c r="O88" s="197"/>
      <c r="P88" s="197"/>
      <c r="Q88" s="197"/>
      <c r="R88" s="197"/>
      <c r="S88" s="197"/>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row>
    <row r="89" spans="1:85" s="199" customFormat="1" ht="15.6" x14ac:dyDescent="0.25">
      <c r="A89" s="392" t="s">
        <v>358</v>
      </c>
      <c r="B89" s="400"/>
      <c r="C89" s="843"/>
      <c r="D89" s="844"/>
      <c r="E89" s="387"/>
      <c r="F89" s="387"/>
      <c r="G89" s="387"/>
      <c r="H89" s="387"/>
      <c r="I89" s="197"/>
      <c r="J89" s="197"/>
      <c r="K89" s="197"/>
      <c r="L89" s="197"/>
      <c r="M89" s="197"/>
      <c r="N89" s="197"/>
      <c r="O89" s="197"/>
      <c r="P89" s="197"/>
      <c r="Q89" s="197"/>
      <c r="R89" s="197"/>
      <c r="S89" s="197"/>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row>
    <row r="90" spans="1:85" s="199" customFormat="1" ht="15.6" x14ac:dyDescent="0.25">
      <c r="A90" s="393" t="s">
        <v>359</v>
      </c>
      <c r="B90" s="400"/>
      <c r="C90" s="843"/>
      <c r="D90" s="844"/>
      <c r="E90" s="845"/>
      <c r="F90" s="845"/>
      <c r="G90" s="845"/>
      <c r="H90" s="845"/>
      <c r="I90" s="197"/>
      <c r="J90" s="197"/>
      <c r="K90" s="197"/>
      <c r="L90" s="197"/>
      <c r="M90" s="197"/>
      <c r="N90" s="197"/>
      <c r="O90" s="197"/>
      <c r="P90" s="197"/>
      <c r="Q90" s="197"/>
      <c r="R90" s="197"/>
      <c r="S90" s="197"/>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row>
    <row r="91" spans="1:85" s="199" customFormat="1" ht="45" x14ac:dyDescent="0.25">
      <c r="A91" s="393"/>
      <c r="B91" s="401" t="s">
        <v>155</v>
      </c>
      <c r="C91" s="843"/>
      <c r="D91" s="844"/>
      <c r="E91" s="845"/>
      <c r="F91" s="845"/>
      <c r="G91" s="845"/>
      <c r="H91" s="845"/>
      <c r="I91" s="197"/>
      <c r="J91" s="197"/>
      <c r="K91" s="197"/>
      <c r="L91" s="197"/>
      <c r="M91" s="197"/>
      <c r="N91" s="197"/>
      <c r="O91" s="197"/>
      <c r="P91" s="197"/>
      <c r="Q91" s="197"/>
      <c r="R91" s="197"/>
      <c r="S91" s="197"/>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row>
    <row r="92" spans="1:85" s="199" customFormat="1" ht="30" x14ac:dyDescent="0.25">
      <c r="A92" s="393"/>
      <c r="B92" s="401" t="s">
        <v>514</v>
      </c>
      <c r="C92" s="843"/>
      <c r="D92" s="844"/>
      <c r="E92" s="845"/>
      <c r="F92" s="845"/>
      <c r="G92" s="845"/>
      <c r="H92" s="845"/>
      <c r="I92" s="197"/>
      <c r="J92" s="197"/>
      <c r="K92" s="197"/>
      <c r="L92" s="197"/>
      <c r="M92" s="197"/>
      <c r="N92" s="197"/>
      <c r="O92" s="197"/>
      <c r="P92" s="197"/>
      <c r="Q92" s="197"/>
      <c r="R92" s="197"/>
      <c r="S92" s="197"/>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row>
    <row r="93" spans="1:85" s="199" customFormat="1" ht="30" x14ac:dyDescent="0.25">
      <c r="A93" s="393"/>
      <c r="B93" s="401" t="s">
        <v>515</v>
      </c>
      <c r="C93" s="843"/>
      <c r="D93" s="844"/>
      <c r="E93" s="845"/>
      <c r="F93" s="845"/>
      <c r="G93" s="845"/>
      <c r="H93" s="845"/>
      <c r="I93" s="197"/>
      <c r="J93" s="197"/>
      <c r="K93" s="197"/>
      <c r="L93" s="197"/>
      <c r="M93" s="197"/>
      <c r="N93" s="197"/>
      <c r="O93" s="197"/>
      <c r="P93" s="197"/>
      <c r="Q93" s="197"/>
      <c r="R93" s="197"/>
      <c r="S93" s="197"/>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row>
    <row r="94" spans="1:85" s="199" customFormat="1" ht="15.6" x14ac:dyDescent="0.25">
      <c r="A94" s="393" t="s">
        <v>360</v>
      </c>
      <c r="B94" s="400"/>
      <c r="C94" s="843"/>
      <c r="D94" s="844"/>
      <c r="E94" s="845"/>
      <c r="F94" s="845"/>
      <c r="G94" s="845"/>
      <c r="H94" s="845"/>
      <c r="I94" s="197"/>
      <c r="J94" s="197"/>
      <c r="K94" s="197"/>
      <c r="L94" s="197"/>
      <c r="M94" s="197"/>
      <c r="N94" s="197"/>
      <c r="O94" s="197"/>
      <c r="P94" s="197"/>
      <c r="Q94" s="197"/>
      <c r="R94" s="197"/>
      <c r="S94" s="197"/>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row>
    <row r="95" spans="1:85" s="199" customFormat="1" ht="15.6" x14ac:dyDescent="0.25">
      <c r="A95" s="775" t="s">
        <v>509</v>
      </c>
      <c r="B95" s="402"/>
      <c r="C95" s="403"/>
      <c r="D95" s="404"/>
      <c r="E95" s="405"/>
      <c r="F95" s="405"/>
      <c r="G95" s="405"/>
      <c r="H95" s="405"/>
      <c r="I95" s="197"/>
      <c r="J95" s="197"/>
      <c r="K95" s="197"/>
      <c r="L95" s="197"/>
      <c r="M95" s="197"/>
      <c r="N95" s="197"/>
      <c r="O95" s="197"/>
      <c r="P95" s="197"/>
      <c r="Q95" s="197"/>
      <c r="R95" s="197"/>
      <c r="S95" s="197"/>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row>
    <row r="96" spans="1:85" s="199" customFormat="1" ht="15.6" x14ac:dyDescent="0.25">
      <c r="A96" s="392" t="s">
        <v>358</v>
      </c>
      <c r="B96" s="400"/>
      <c r="C96" s="843">
        <v>2000000</v>
      </c>
      <c r="D96" s="844"/>
      <c r="E96" s="387"/>
      <c r="F96" s="387"/>
      <c r="G96" s="387"/>
      <c r="H96" s="387"/>
      <c r="I96" s="197"/>
      <c r="J96" s="197"/>
      <c r="K96" s="197"/>
      <c r="L96" s="197"/>
      <c r="M96" s="197"/>
      <c r="N96" s="197"/>
      <c r="O96" s="197"/>
      <c r="P96" s="197"/>
      <c r="Q96" s="197"/>
      <c r="R96" s="197"/>
      <c r="S96" s="197"/>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row>
    <row r="97" spans="1:85" s="199" customFormat="1" ht="15.6" x14ac:dyDescent="0.25">
      <c r="A97" s="393" t="s">
        <v>359</v>
      </c>
      <c r="B97" s="400"/>
      <c r="C97" s="843" t="s">
        <v>521</v>
      </c>
      <c r="D97" s="844"/>
      <c r="E97" s="845"/>
      <c r="F97" s="845"/>
      <c r="G97" s="845"/>
      <c r="H97" s="845"/>
      <c r="I97" s="197"/>
      <c r="J97" s="197"/>
      <c r="K97" s="197"/>
      <c r="L97" s="197"/>
      <c r="M97" s="197"/>
      <c r="N97" s="197"/>
      <c r="O97" s="197"/>
      <c r="P97" s="197"/>
      <c r="Q97" s="197"/>
      <c r="R97" s="197"/>
      <c r="S97" s="197"/>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row>
    <row r="98" spans="1:85" s="199" customFormat="1" ht="45" x14ac:dyDescent="0.25">
      <c r="A98" s="393"/>
      <c r="B98" s="401" t="s">
        <v>155</v>
      </c>
      <c r="C98" s="843" t="s">
        <v>10</v>
      </c>
      <c r="D98" s="844"/>
      <c r="E98" s="845"/>
      <c r="F98" s="845"/>
      <c r="G98" s="845"/>
      <c r="H98" s="845"/>
      <c r="I98" s="197"/>
      <c r="J98" s="197"/>
      <c r="K98" s="197"/>
      <c r="L98" s="197"/>
      <c r="M98" s="197"/>
      <c r="N98" s="197"/>
      <c r="O98" s="197"/>
      <c r="P98" s="197"/>
      <c r="Q98" s="197"/>
      <c r="R98" s="197"/>
      <c r="S98" s="197"/>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row>
    <row r="99" spans="1:85" s="199" customFormat="1" ht="30" x14ac:dyDescent="0.25">
      <c r="A99" s="393"/>
      <c r="B99" s="401" t="s">
        <v>514</v>
      </c>
      <c r="C99" s="843" t="s">
        <v>1465</v>
      </c>
      <c r="D99" s="844"/>
      <c r="E99" s="845"/>
      <c r="F99" s="845"/>
      <c r="G99" s="845"/>
      <c r="H99" s="845"/>
      <c r="I99" s="197"/>
      <c r="J99" s="197"/>
      <c r="K99" s="197"/>
      <c r="L99" s="197"/>
      <c r="M99" s="197"/>
      <c r="N99" s="197"/>
      <c r="O99" s="197"/>
      <c r="P99" s="197"/>
      <c r="Q99" s="197"/>
      <c r="R99" s="197"/>
      <c r="S99" s="197"/>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row>
    <row r="100" spans="1:85" s="199" customFormat="1" ht="30" x14ac:dyDescent="0.25">
      <c r="A100" s="393"/>
      <c r="B100" s="401" t="s">
        <v>515</v>
      </c>
      <c r="C100" s="843" t="s">
        <v>1465</v>
      </c>
      <c r="D100" s="844"/>
      <c r="E100" s="845"/>
      <c r="F100" s="845"/>
      <c r="G100" s="845"/>
      <c r="H100" s="845"/>
      <c r="I100" s="197"/>
      <c r="J100" s="197"/>
      <c r="K100" s="197"/>
      <c r="L100" s="197"/>
      <c r="M100" s="197"/>
      <c r="N100" s="197"/>
      <c r="O100" s="197"/>
      <c r="P100" s="197"/>
      <c r="Q100" s="197"/>
      <c r="R100" s="197"/>
      <c r="S100" s="197"/>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row>
    <row r="101" spans="1:85" s="199" customFormat="1" ht="15.6" x14ac:dyDescent="0.25">
      <c r="A101" s="393" t="s">
        <v>360</v>
      </c>
      <c r="B101" s="400"/>
      <c r="C101" s="843" t="s">
        <v>521</v>
      </c>
      <c r="D101" s="844"/>
      <c r="E101" s="845"/>
      <c r="F101" s="845"/>
      <c r="G101" s="845"/>
      <c r="H101" s="845"/>
      <c r="I101" s="197"/>
      <c r="J101" s="197"/>
      <c r="K101" s="197"/>
      <c r="L101" s="197"/>
      <c r="M101" s="197"/>
      <c r="N101" s="197"/>
      <c r="O101" s="197"/>
      <c r="P101" s="197"/>
      <c r="Q101" s="197"/>
      <c r="R101" s="197"/>
      <c r="S101" s="197"/>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row>
    <row r="102" spans="1:85" s="199" customFormat="1" ht="15.6" x14ac:dyDescent="0.25">
      <c r="A102" s="775" t="s">
        <v>510</v>
      </c>
      <c r="B102" s="402"/>
      <c r="C102" s="403"/>
      <c r="D102" s="404"/>
      <c r="E102" s="405"/>
      <c r="F102" s="405"/>
      <c r="G102" s="405"/>
      <c r="H102" s="405"/>
      <c r="I102" s="197"/>
      <c r="J102" s="197"/>
      <c r="K102" s="197"/>
      <c r="L102" s="197"/>
      <c r="M102" s="197"/>
      <c r="N102" s="197"/>
      <c r="O102" s="197"/>
      <c r="P102" s="197"/>
      <c r="Q102" s="197"/>
      <c r="R102" s="197"/>
      <c r="S102" s="197"/>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row>
    <row r="103" spans="1:85" s="199" customFormat="1" ht="15.6" x14ac:dyDescent="0.25">
      <c r="A103" s="392" t="s">
        <v>358</v>
      </c>
      <c r="B103" s="400"/>
      <c r="C103" s="843">
        <v>2000000</v>
      </c>
      <c r="D103" s="844"/>
      <c r="E103" s="387"/>
      <c r="F103" s="387"/>
      <c r="G103" s="387"/>
      <c r="H103" s="387"/>
      <c r="I103" s="197"/>
      <c r="J103" s="197"/>
      <c r="K103" s="197"/>
      <c r="L103" s="197"/>
      <c r="M103" s="197"/>
      <c r="N103" s="197"/>
      <c r="O103" s="197"/>
      <c r="P103" s="197"/>
      <c r="Q103" s="197"/>
      <c r="R103" s="197"/>
      <c r="S103" s="197"/>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row>
    <row r="104" spans="1:85" s="199" customFormat="1" ht="15.6" x14ac:dyDescent="0.25">
      <c r="A104" s="393" t="s">
        <v>359</v>
      </c>
      <c r="B104" s="400"/>
      <c r="C104" s="843" t="s">
        <v>521</v>
      </c>
      <c r="D104" s="844"/>
      <c r="E104" s="845"/>
      <c r="F104" s="845"/>
      <c r="G104" s="845"/>
      <c r="H104" s="845"/>
      <c r="I104" s="197"/>
      <c r="J104" s="197"/>
      <c r="K104" s="197"/>
      <c r="L104" s="197"/>
      <c r="M104" s="197"/>
      <c r="N104" s="197"/>
      <c r="O104" s="197"/>
      <c r="P104" s="197"/>
      <c r="Q104" s="197"/>
      <c r="R104" s="197"/>
      <c r="S104" s="197"/>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row>
    <row r="105" spans="1:85" s="199" customFormat="1" ht="45" x14ac:dyDescent="0.25">
      <c r="A105" s="393"/>
      <c r="B105" s="401" t="s">
        <v>155</v>
      </c>
      <c r="C105" s="843" t="s">
        <v>10</v>
      </c>
      <c r="D105" s="844"/>
      <c r="E105" s="845"/>
      <c r="F105" s="845"/>
      <c r="G105" s="845"/>
      <c r="H105" s="845"/>
      <c r="I105" s="197"/>
      <c r="J105" s="197"/>
      <c r="K105" s="197"/>
      <c r="L105" s="197"/>
      <c r="M105" s="197"/>
      <c r="N105" s="197"/>
      <c r="O105" s="197"/>
      <c r="P105" s="197"/>
      <c r="Q105" s="197"/>
      <c r="R105" s="197"/>
      <c r="S105" s="197"/>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row>
    <row r="106" spans="1:85" s="199" customFormat="1" ht="30" x14ac:dyDescent="0.25">
      <c r="A106" s="393"/>
      <c r="B106" s="401" t="s">
        <v>514</v>
      </c>
      <c r="C106" s="843" t="s">
        <v>1465</v>
      </c>
      <c r="D106" s="844"/>
      <c r="E106" s="845"/>
      <c r="F106" s="845"/>
      <c r="G106" s="845"/>
      <c r="H106" s="845"/>
      <c r="I106" s="197"/>
      <c r="J106" s="197"/>
      <c r="K106" s="197"/>
      <c r="L106" s="197"/>
      <c r="M106" s="197"/>
      <c r="N106" s="197"/>
      <c r="O106" s="197"/>
      <c r="P106" s="197"/>
      <c r="Q106" s="197"/>
      <c r="R106" s="197"/>
      <c r="S106" s="197"/>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row>
    <row r="107" spans="1:85" s="199" customFormat="1" ht="30" x14ac:dyDescent="0.25">
      <c r="A107" s="393"/>
      <c r="B107" s="401" t="s">
        <v>515</v>
      </c>
      <c r="C107" s="843" t="s">
        <v>1465</v>
      </c>
      <c r="D107" s="844"/>
      <c r="E107" s="845"/>
      <c r="F107" s="845"/>
      <c r="G107" s="845"/>
      <c r="H107" s="845"/>
      <c r="I107" s="197"/>
      <c r="J107" s="197"/>
      <c r="K107" s="197"/>
      <c r="L107" s="197"/>
      <c r="M107" s="197"/>
      <c r="N107" s="197"/>
      <c r="O107" s="197"/>
      <c r="P107" s="197"/>
      <c r="Q107" s="197"/>
      <c r="R107" s="197"/>
      <c r="S107" s="197"/>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row>
    <row r="108" spans="1:85" s="199" customFormat="1" ht="15.6" x14ac:dyDescent="0.25">
      <c r="A108" s="1030" t="s">
        <v>360</v>
      </c>
      <c r="B108" s="1031"/>
      <c r="C108" s="843" t="s">
        <v>521</v>
      </c>
      <c r="D108" s="1032"/>
      <c r="E108" s="1033"/>
      <c r="F108" s="1033"/>
      <c r="G108" s="1033"/>
      <c r="H108" s="1033"/>
      <c r="I108" s="197"/>
      <c r="J108" s="197"/>
      <c r="K108" s="197"/>
      <c r="L108" s="197"/>
      <c r="M108" s="197"/>
      <c r="N108" s="197"/>
      <c r="O108" s="197"/>
      <c r="P108" s="197"/>
      <c r="Q108" s="197"/>
      <c r="R108" s="197"/>
      <c r="S108" s="197"/>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row>
    <row r="109" spans="1:85" s="199" customFormat="1" ht="30" customHeight="1" x14ac:dyDescent="0.25">
      <c r="A109" s="1098" t="s">
        <v>517</v>
      </c>
      <c r="B109" s="1099"/>
      <c r="C109" s="1036" t="s">
        <v>1466</v>
      </c>
      <c r="D109" s="1034"/>
      <c r="E109" s="1037"/>
      <c r="F109" s="1037"/>
      <c r="G109" s="1037"/>
      <c r="H109" s="1037"/>
      <c r="I109" s="197"/>
      <c r="J109" s="197"/>
      <c r="K109" s="197"/>
      <c r="L109" s="197"/>
      <c r="M109" s="197"/>
      <c r="N109" s="197"/>
      <c r="O109" s="197"/>
      <c r="P109" s="197"/>
      <c r="Q109" s="197"/>
      <c r="R109" s="197"/>
      <c r="S109" s="197"/>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row>
    <row r="110" spans="1:85" s="199" customFormat="1" ht="30" customHeight="1" x14ac:dyDescent="0.25">
      <c r="A110" s="1096" t="s">
        <v>516</v>
      </c>
      <c r="B110" s="1097"/>
      <c r="C110" s="1028"/>
      <c r="D110" s="1035"/>
      <c r="E110" s="1029"/>
      <c r="F110" s="1029"/>
      <c r="G110" s="1029"/>
      <c r="H110" s="1029"/>
      <c r="I110" s="197"/>
      <c r="J110" s="197"/>
      <c r="K110" s="197"/>
      <c r="L110" s="197"/>
      <c r="M110" s="197"/>
      <c r="N110" s="197"/>
      <c r="O110" s="197"/>
      <c r="P110" s="197"/>
      <c r="Q110" s="197"/>
      <c r="R110" s="197"/>
      <c r="S110" s="197"/>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row>
    <row r="111" spans="1:85" s="199" customFormat="1" ht="15.6" x14ac:dyDescent="0.25">
      <c r="A111" s="326" t="s">
        <v>118</v>
      </c>
      <c r="B111" s="327"/>
      <c r="C111" s="568">
        <v>2000000</v>
      </c>
      <c r="D111" s="569"/>
      <c r="E111" s="330"/>
      <c r="F111" s="330"/>
      <c r="G111" s="330"/>
      <c r="H111" s="330"/>
      <c r="I111" s="197"/>
      <c r="J111" s="197"/>
      <c r="K111" s="197"/>
      <c r="L111" s="197"/>
      <c r="M111" s="197"/>
      <c r="N111" s="197"/>
      <c r="O111" s="197"/>
      <c r="P111" s="197"/>
      <c r="Q111" s="197"/>
      <c r="R111" s="197"/>
      <c r="S111" s="197"/>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row>
    <row r="112" spans="1:85" s="199" customFormat="1" x14ac:dyDescent="0.25">
      <c r="A112" s="360"/>
      <c r="B112" s="406" t="s">
        <v>22</v>
      </c>
      <c r="C112" s="846">
        <v>250000</v>
      </c>
      <c r="D112" s="847"/>
      <c r="E112" s="444"/>
      <c r="F112" s="444"/>
      <c r="G112" s="444"/>
      <c r="H112" s="444"/>
      <c r="I112" s="197"/>
      <c r="J112" s="197"/>
      <c r="K112" s="197"/>
      <c r="L112" s="197"/>
      <c r="M112" s="197"/>
      <c r="N112" s="197"/>
      <c r="O112" s="197"/>
      <c r="P112" s="197"/>
      <c r="Q112" s="197"/>
      <c r="R112" s="197"/>
      <c r="S112" s="197"/>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row>
    <row r="113" spans="1:86" s="199" customFormat="1" ht="15.6" x14ac:dyDescent="0.25">
      <c r="A113" s="407" t="s">
        <v>119</v>
      </c>
      <c r="B113" s="408"/>
      <c r="C113" s="409"/>
      <c r="D113" s="410"/>
      <c r="E113" s="411"/>
      <c r="F113" s="411"/>
      <c r="G113" s="411"/>
      <c r="H113" s="411"/>
      <c r="I113" s="197"/>
      <c r="J113" s="197"/>
      <c r="K113" s="197"/>
      <c r="L113" s="197"/>
      <c r="M113" s="197"/>
      <c r="N113" s="197"/>
      <c r="O113" s="197"/>
      <c r="P113" s="197"/>
      <c r="Q113" s="197"/>
      <c r="R113" s="197"/>
      <c r="S113" s="197"/>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row>
    <row r="114" spans="1:86" s="199" customFormat="1" x14ac:dyDescent="0.25">
      <c r="A114" s="412"/>
      <c r="B114" s="413" t="s">
        <v>22</v>
      </c>
      <c r="C114" s="414"/>
      <c r="D114" s="415"/>
      <c r="E114" s="416"/>
      <c r="F114" s="416"/>
      <c r="G114" s="416"/>
      <c r="H114" s="416"/>
      <c r="I114" s="197"/>
      <c r="J114" s="197"/>
      <c r="K114" s="197"/>
      <c r="L114" s="197"/>
      <c r="M114" s="197"/>
      <c r="N114" s="197"/>
      <c r="O114" s="197"/>
      <c r="P114" s="197"/>
      <c r="Q114" s="197"/>
      <c r="R114" s="197"/>
      <c r="S114" s="197"/>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row>
    <row r="115" spans="1:86" s="199" customFormat="1" ht="15.6" x14ac:dyDescent="0.25">
      <c r="A115" s="417"/>
      <c r="B115" s="418" t="s">
        <v>120</v>
      </c>
      <c r="C115" s="419"/>
      <c r="D115" s="420"/>
      <c r="E115" s="421"/>
      <c r="F115" s="421"/>
      <c r="G115" s="421"/>
      <c r="H115" s="421"/>
      <c r="I115" s="197"/>
      <c r="J115" s="197"/>
      <c r="K115" s="197"/>
      <c r="L115" s="197"/>
      <c r="M115" s="197"/>
      <c r="N115" s="197"/>
      <c r="O115" s="197"/>
      <c r="P115" s="197"/>
      <c r="Q115" s="197"/>
      <c r="R115" s="197"/>
      <c r="S115" s="197"/>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row>
    <row r="116" spans="1:86" s="199" customFormat="1" ht="15.6" x14ac:dyDescent="0.25">
      <c r="A116" s="407" t="s">
        <v>121</v>
      </c>
      <c r="B116" s="408"/>
      <c r="C116" s="409"/>
      <c r="D116" s="410"/>
      <c r="E116" s="411"/>
      <c r="F116" s="411"/>
      <c r="G116" s="411"/>
      <c r="H116" s="411"/>
      <c r="I116" s="197"/>
      <c r="J116" s="197"/>
      <c r="K116" s="197"/>
      <c r="L116" s="197"/>
      <c r="M116" s="197"/>
      <c r="N116" s="197"/>
      <c r="O116" s="197"/>
      <c r="P116" s="197"/>
      <c r="Q116" s="197"/>
      <c r="R116" s="197"/>
      <c r="S116" s="197"/>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row>
    <row r="117" spans="1:86" s="199" customFormat="1" x14ac:dyDescent="0.25">
      <c r="A117" s="412"/>
      <c r="B117" s="413" t="s">
        <v>22</v>
      </c>
      <c r="C117" s="414"/>
      <c r="D117" s="415"/>
      <c r="E117" s="416"/>
      <c r="F117" s="416"/>
      <c r="G117" s="416"/>
      <c r="H117" s="416"/>
      <c r="I117" s="197"/>
      <c r="J117" s="197"/>
      <c r="K117" s="197"/>
      <c r="L117" s="197"/>
      <c r="M117" s="197"/>
      <c r="N117" s="197"/>
      <c r="O117" s="197"/>
      <c r="P117" s="197"/>
      <c r="Q117" s="197"/>
      <c r="R117" s="197"/>
      <c r="S117" s="197"/>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row>
    <row r="118" spans="1:86" s="199" customFormat="1" ht="16.2" thickBot="1" x14ac:dyDescent="0.3">
      <c r="A118" s="417"/>
      <c r="B118" s="418" t="s">
        <v>120</v>
      </c>
      <c r="C118" s="419"/>
      <c r="D118" s="420"/>
      <c r="E118" s="421"/>
      <c r="F118" s="421"/>
      <c r="G118" s="421"/>
      <c r="H118" s="421"/>
      <c r="I118" s="197"/>
      <c r="J118" s="197"/>
      <c r="K118" s="197"/>
      <c r="L118" s="197"/>
      <c r="M118" s="197"/>
      <c r="N118" s="197"/>
      <c r="O118" s="197"/>
      <c r="P118" s="197"/>
      <c r="Q118" s="197"/>
      <c r="R118" s="197"/>
      <c r="S118" s="197"/>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row>
    <row r="119" spans="1:86" s="199" customFormat="1" ht="16.2" thickTop="1" x14ac:dyDescent="0.25">
      <c r="A119" s="422" t="s">
        <v>122</v>
      </c>
      <c r="B119" s="423"/>
      <c r="C119" s="424"/>
      <c r="D119" s="425"/>
      <c r="E119" s="426"/>
      <c r="F119" s="426"/>
      <c r="G119" s="426"/>
      <c r="H119" s="426"/>
      <c r="I119" s="197"/>
      <c r="J119" s="197"/>
      <c r="K119" s="197"/>
      <c r="L119" s="197"/>
      <c r="M119" s="197"/>
      <c r="N119" s="197"/>
      <c r="O119" s="197"/>
      <c r="P119" s="197"/>
      <c r="Q119" s="197"/>
      <c r="R119" s="197"/>
      <c r="S119" s="197"/>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row>
    <row r="120" spans="1:86" s="199" customFormat="1" ht="15.6" x14ac:dyDescent="0.25">
      <c r="A120" s="427"/>
      <c r="B120" s="332" t="s">
        <v>361</v>
      </c>
      <c r="C120" s="428">
        <v>528541</v>
      </c>
      <c r="D120" s="429"/>
      <c r="E120" s="430"/>
      <c r="F120" s="430"/>
      <c r="G120" s="430"/>
      <c r="H120" s="430"/>
      <c r="I120" s="197"/>
      <c r="J120" s="197"/>
      <c r="K120" s="197"/>
      <c r="L120" s="197"/>
      <c r="M120" s="197"/>
      <c r="N120" s="197"/>
      <c r="O120" s="197"/>
      <c r="P120" s="197"/>
      <c r="Q120" s="197"/>
      <c r="R120" s="197"/>
      <c r="S120" s="197"/>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row>
    <row r="121" spans="1:86" s="199" customFormat="1" ht="15.6" x14ac:dyDescent="0.25">
      <c r="A121" s="331"/>
      <c r="B121" s="332" t="s">
        <v>362</v>
      </c>
      <c r="C121" s="428"/>
      <c r="D121" s="429"/>
      <c r="E121" s="430"/>
      <c r="F121" s="430"/>
      <c r="G121" s="430"/>
      <c r="H121" s="430"/>
      <c r="I121" s="197"/>
      <c r="J121" s="197"/>
      <c r="K121" s="197"/>
      <c r="L121" s="197"/>
      <c r="M121" s="197"/>
      <c r="N121" s="197"/>
      <c r="O121" s="197"/>
      <c r="P121" s="197"/>
      <c r="Q121" s="197"/>
      <c r="R121" s="197"/>
      <c r="S121" s="197"/>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row>
    <row r="122" spans="1:86" s="199" customFormat="1" ht="16.2" thickBot="1" x14ac:dyDescent="0.3">
      <c r="A122" s="431" t="s">
        <v>184</v>
      </c>
      <c r="B122" s="432"/>
      <c r="C122" s="433"/>
      <c r="D122" s="434"/>
      <c r="E122" s="435"/>
      <c r="F122" s="435"/>
      <c r="G122" s="435"/>
      <c r="H122" s="435"/>
      <c r="I122" s="197"/>
      <c r="J122" s="197"/>
      <c r="K122" s="197"/>
      <c r="L122" s="197"/>
      <c r="M122" s="197"/>
      <c r="N122" s="197"/>
      <c r="O122" s="197"/>
      <c r="P122" s="197"/>
      <c r="Q122" s="197"/>
      <c r="R122" s="197"/>
      <c r="S122" s="197"/>
      <c r="T122" s="197"/>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row>
    <row r="123" spans="1:86" s="199" customFormat="1" ht="15.6" thickTop="1" x14ac:dyDescent="0.25">
      <c r="A123" s="436" t="s">
        <v>40</v>
      </c>
      <c r="B123" s="423"/>
      <c r="C123" s="437"/>
      <c r="D123" s="438"/>
      <c r="E123" s="439"/>
      <c r="F123" s="439"/>
      <c r="G123" s="439"/>
      <c r="H123" s="439"/>
      <c r="I123" s="197"/>
      <c r="J123" s="197"/>
      <c r="K123" s="197"/>
      <c r="L123" s="197"/>
      <c r="M123" s="197"/>
      <c r="N123" s="197"/>
      <c r="O123" s="197"/>
      <c r="P123" s="197"/>
      <c r="Q123" s="197"/>
      <c r="R123" s="197"/>
      <c r="S123" s="197"/>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row>
    <row r="124" spans="1:86" s="199" customFormat="1" ht="30" x14ac:dyDescent="0.25">
      <c r="A124" s="331"/>
      <c r="B124" s="440" t="s">
        <v>200</v>
      </c>
      <c r="C124" s="279"/>
      <c r="D124" s="263"/>
      <c r="E124" s="333"/>
      <c r="F124" s="333"/>
      <c r="G124" s="333"/>
      <c r="H124" s="333"/>
      <c r="I124" s="197"/>
      <c r="J124" s="197"/>
      <c r="K124" s="197"/>
      <c r="L124" s="197"/>
      <c r="M124" s="197"/>
      <c r="N124" s="197"/>
      <c r="O124" s="197"/>
      <c r="P124" s="197"/>
      <c r="Q124" s="197"/>
      <c r="R124" s="197"/>
      <c r="S124" s="197"/>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row>
    <row r="125" spans="1:86" s="199" customFormat="1" ht="30" x14ac:dyDescent="0.25">
      <c r="A125" s="331"/>
      <c r="B125" s="440" t="s">
        <v>199</v>
      </c>
      <c r="C125" s="279"/>
      <c r="D125" s="263"/>
      <c r="E125" s="333"/>
      <c r="F125" s="333"/>
      <c r="G125" s="333"/>
      <c r="H125" s="333"/>
      <c r="I125" s="197"/>
      <c r="J125" s="197"/>
      <c r="K125" s="197"/>
      <c r="L125" s="197"/>
      <c r="M125" s="197"/>
      <c r="N125" s="197"/>
      <c r="O125" s="197"/>
      <c r="P125" s="197"/>
      <c r="Q125" s="197"/>
      <c r="R125" s="197"/>
      <c r="S125" s="197"/>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row>
    <row r="126" spans="1:86" s="199" customFormat="1" ht="30" x14ac:dyDescent="0.25">
      <c r="A126" s="987"/>
      <c r="B126" s="1024" t="s">
        <v>471</v>
      </c>
      <c r="C126" s="988"/>
      <c r="D126" s="989"/>
      <c r="E126" s="990"/>
      <c r="F126" s="990"/>
      <c r="G126" s="990"/>
      <c r="H126" s="990"/>
      <c r="I126" s="197"/>
      <c r="J126" s="197"/>
      <c r="K126" s="197"/>
      <c r="L126" s="197"/>
      <c r="M126" s="197"/>
      <c r="N126" s="197"/>
      <c r="O126" s="197"/>
      <c r="P126" s="197"/>
      <c r="Q126" s="197"/>
      <c r="R126" s="197"/>
      <c r="S126" s="197"/>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row>
    <row r="127" spans="1:86" s="199" customFormat="1" ht="30" x14ac:dyDescent="0.25">
      <c r="A127" s="360"/>
      <c r="B127" s="441" t="s">
        <v>198</v>
      </c>
      <c r="C127" s="442"/>
      <c r="D127" s="443"/>
      <c r="E127" s="444"/>
      <c r="F127" s="444"/>
      <c r="G127" s="444"/>
      <c r="H127" s="444"/>
      <c r="I127" s="197"/>
      <c r="J127" s="197"/>
      <c r="K127" s="197"/>
      <c r="L127" s="197"/>
      <c r="M127" s="197"/>
      <c r="N127" s="197"/>
      <c r="O127" s="197"/>
      <c r="P127" s="197"/>
      <c r="Q127" s="197"/>
      <c r="R127" s="197"/>
      <c r="S127" s="197"/>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row>
    <row r="128" spans="1:86" s="199" customFormat="1" x14ac:dyDescent="0.25">
      <c r="A128" s="445" t="s">
        <v>41</v>
      </c>
      <c r="B128" s="446"/>
      <c r="C128" s="464"/>
      <c r="D128" s="447"/>
      <c r="E128" s="448"/>
      <c r="F128" s="448"/>
      <c r="G128" s="448"/>
      <c r="H128" s="448"/>
      <c r="I128" s="197"/>
      <c r="J128" s="197"/>
      <c r="K128" s="197"/>
      <c r="L128" s="197"/>
      <c r="M128" s="197"/>
      <c r="N128" s="197"/>
      <c r="O128" s="197"/>
      <c r="P128" s="197"/>
      <c r="Q128" s="197"/>
      <c r="R128" s="197"/>
      <c r="S128" s="197"/>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row>
    <row r="129" spans="1:92" s="199" customFormat="1" x14ac:dyDescent="0.25">
      <c r="A129" s="319" t="s">
        <v>42</v>
      </c>
      <c r="B129" s="206"/>
      <c r="C129" s="887"/>
      <c r="D129" s="449"/>
      <c r="E129" s="320"/>
      <c r="F129" s="320"/>
      <c r="G129" s="320"/>
      <c r="H129" s="320"/>
      <c r="I129" s="197"/>
      <c r="J129" s="197"/>
      <c r="K129" s="197"/>
      <c r="L129" s="197"/>
      <c r="M129" s="197"/>
      <c r="N129" s="197"/>
      <c r="O129" s="197"/>
      <c r="P129" s="197"/>
      <c r="Q129" s="197"/>
      <c r="R129" s="197"/>
      <c r="S129" s="197"/>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row>
    <row r="130" spans="1:92" s="199" customFormat="1" x14ac:dyDescent="0.25">
      <c r="A130" s="319" t="s">
        <v>43</v>
      </c>
      <c r="B130" s="206"/>
      <c r="C130" s="207"/>
      <c r="D130" s="449"/>
      <c r="E130" s="320"/>
      <c r="F130" s="320"/>
      <c r="G130" s="320"/>
      <c r="H130" s="320"/>
      <c r="I130" s="197"/>
      <c r="J130" s="197"/>
      <c r="K130" s="197"/>
      <c r="L130" s="197"/>
      <c r="M130" s="197"/>
      <c r="N130" s="197"/>
      <c r="O130" s="197"/>
      <c r="P130" s="197"/>
      <c r="Q130" s="197"/>
      <c r="R130" s="197"/>
      <c r="S130" s="197"/>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row>
    <row r="131" spans="1:92" s="199" customFormat="1" x14ac:dyDescent="0.25">
      <c r="A131" s="319" t="s">
        <v>44</v>
      </c>
      <c r="B131" s="206"/>
      <c r="C131" s="887"/>
      <c r="D131" s="320"/>
      <c r="E131" s="320"/>
      <c r="F131" s="320"/>
      <c r="G131" s="320"/>
      <c r="H131" s="320"/>
      <c r="I131" s="197"/>
      <c r="J131" s="197"/>
      <c r="K131" s="197"/>
      <c r="L131" s="197"/>
      <c r="M131" s="197"/>
      <c r="N131" s="197"/>
      <c r="O131" s="197"/>
      <c r="P131" s="197"/>
      <c r="Q131" s="197"/>
      <c r="R131" s="197"/>
      <c r="S131" s="197"/>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row>
    <row r="132" spans="1:92" s="199" customFormat="1" x14ac:dyDescent="0.25">
      <c r="A132" s="319" t="s">
        <v>373</v>
      </c>
      <c r="B132" s="206"/>
      <c r="C132" s="887"/>
      <c r="D132" s="320"/>
      <c r="E132" s="320"/>
      <c r="F132" s="320"/>
      <c r="G132" s="320"/>
      <c r="H132" s="320"/>
      <c r="I132" s="197"/>
      <c r="J132" s="197"/>
      <c r="K132" s="197"/>
      <c r="L132" s="197"/>
      <c r="M132" s="197"/>
      <c r="N132" s="197"/>
      <c r="O132" s="197"/>
      <c r="P132" s="197"/>
      <c r="Q132" s="197"/>
      <c r="R132" s="197"/>
      <c r="S132" s="197"/>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row>
    <row r="133" spans="1:92" s="199" customFormat="1" x14ac:dyDescent="0.25">
      <c r="A133" s="319" t="s">
        <v>45</v>
      </c>
      <c r="B133" s="206"/>
      <c r="C133" s="207"/>
      <c r="D133" s="320"/>
      <c r="E133" s="320"/>
      <c r="F133" s="320"/>
      <c r="G133" s="320"/>
      <c r="H133" s="320"/>
      <c r="I133" s="197"/>
      <c r="J133" s="197"/>
      <c r="K133" s="197"/>
      <c r="L133" s="197"/>
      <c r="M133" s="197"/>
      <c r="N133" s="197"/>
      <c r="O133" s="197"/>
      <c r="P133" s="197"/>
      <c r="Q133" s="197"/>
      <c r="R133" s="197"/>
      <c r="S133" s="197"/>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row>
    <row r="134" spans="1:92" s="199" customFormat="1" x14ac:dyDescent="0.25">
      <c r="A134" s="322" t="s">
        <v>346</v>
      </c>
      <c r="B134" s="323"/>
      <c r="C134" s="714"/>
      <c r="D134" s="325"/>
      <c r="E134" s="324"/>
      <c r="F134" s="324"/>
      <c r="G134" s="324"/>
      <c r="H134" s="324"/>
      <c r="I134" s="197"/>
      <c r="J134" s="197"/>
      <c r="K134" s="197"/>
      <c r="L134" s="197"/>
      <c r="M134" s="197"/>
      <c r="N134" s="197"/>
      <c r="O134" s="197"/>
      <c r="P134" s="197"/>
      <c r="Q134" s="197"/>
      <c r="R134" s="197"/>
      <c r="S134" s="197"/>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row>
    <row r="135" spans="1:92" s="199" customFormat="1" x14ac:dyDescent="0.25">
      <c r="A135" s="450" t="s">
        <v>150</v>
      </c>
      <c r="B135" s="327"/>
      <c r="C135" s="328"/>
      <c r="D135" s="329"/>
      <c r="E135" s="329"/>
      <c r="F135" s="888"/>
      <c r="G135" s="329"/>
      <c r="H135" s="329"/>
      <c r="I135" s="197"/>
      <c r="J135" s="197"/>
      <c r="K135" s="197"/>
      <c r="L135" s="197"/>
      <c r="M135" s="197"/>
      <c r="N135" s="197"/>
      <c r="O135" s="197"/>
      <c r="P135" s="197"/>
      <c r="Q135" s="197"/>
      <c r="R135" s="197"/>
      <c r="S135" s="197"/>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row>
    <row r="136" spans="1:92" s="199" customFormat="1" x14ac:dyDescent="0.25">
      <c r="A136" s="331" t="s">
        <v>151</v>
      </c>
      <c r="B136" s="332"/>
      <c r="C136" s="279"/>
      <c r="D136" s="333"/>
      <c r="E136" s="333"/>
      <c r="F136" s="889"/>
      <c r="G136" s="333"/>
      <c r="H136" s="333"/>
      <c r="I136" s="197"/>
      <c r="J136" s="197"/>
      <c r="K136" s="197"/>
      <c r="L136" s="197"/>
      <c r="M136" s="197"/>
      <c r="N136" s="197"/>
      <c r="O136" s="197"/>
      <c r="P136" s="197"/>
      <c r="Q136" s="197"/>
      <c r="R136" s="197"/>
      <c r="S136" s="197"/>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row>
    <row r="137" spans="1:92" s="199" customFormat="1" x14ac:dyDescent="0.25">
      <c r="A137" s="331" t="s">
        <v>152</v>
      </c>
      <c r="B137" s="332"/>
      <c r="C137" s="279"/>
      <c r="D137" s="333"/>
      <c r="E137" s="333"/>
      <c r="F137" s="889"/>
      <c r="G137" s="333"/>
      <c r="H137" s="333"/>
      <c r="I137" s="197"/>
      <c r="J137" s="197"/>
      <c r="K137" s="197"/>
      <c r="L137" s="197"/>
      <c r="M137" s="197"/>
      <c r="N137" s="197"/>
      <c r="O137" s="197"/>
      <c r="P137" s="197"/>
      <c r="Q137" s="197"/>
      <c r="R137" s="197"/>
      <c r="S137" s="197"/>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row>
    <row r="138" spans="1:92" s="199" customFormat="1" x14ac:dyDescent="0.25">
      <c r="A138" s="360" t="s">
        <v>46</v>
      </c>
      <c r="B138" s="406"/>
      <c r="C138" s="442"/>
      <c r="D138" s="444"/>
      <c r="E138" s="444"/>
      <c r="F138" s="890"/>
      <c r="G138" s="444"/>
      <c r="H138" s="444"/>
      <c r="I138" s="197"/>
      <c r="J138" s="197"/>
      <c r="K138" s="197"/>
      <c r="L138" s="197"/>
      <c r="M138" s="197"/>
      <c r="N138" s="197"/>
      <c r="O138" s="197"/>
      <c r="P138" s="197"/>
      <c r="Q138" s="197"/>
      <c r="R138" s="197"/>
      <c r="S138" s="197"/>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row>
    <row r="139" spans="1:92" s="199" customFormat="1" x14ac:dyDescent="0.25">
      <c r="A139" s="315" t="s">
        <v>50</v>
      </c>
      <c r="B139" s="316"/>
      <c r="C139" s="562"/>
      <c r="D139" s="317"/>
      <c r="E139" s="317"/>
      <c r="F139" s="317"/>
      <c r="G139" s="317"/>
      <c r="H139" s="317"/>
      <c r="I139" s="197"/>
      <c r="J139" s="197"/>
      <c r="K139" s="197"/>
      <c r="L139" s="197"/>
      <c r="M139" s="197"/>
      <c r="N139" s="197"/>
      <c r="O139" s="197"/>
      <c r="P139" s="197"/>
      <c r="Q139" s="197"/>
      <c r="R139" s="197"/>
      <c r="S139" s="197"/>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row>
    <row r="140" spans="1:92" s="199" customFormat="1" x14ac:dyDescent="0.25">
      <c r="A140" s="322" t="s">
        <v>123</v>
      </c>
      <c r="B140" s="323"/>
      <c r="C140" s="714"/>
      <c r="D140" s="324"/>
      <c r="E140" s="324"/>
      <c r="F140" s="324"/>
      <c r="G140" s="324"/>
      <c r="H140" s="324"/>
      <c r="I140" s="197"/>
      <c r="J140" s="197"/>
      <c r="K140" s="197"/>
      <c r="L140" s="197"/>
      <c r="M140" s="197"/>
      <c r="N140" s="197"/>
      <c r="O140" s="197"/>
      <c r="P140" s="197"/>
      <c r="Q140" s="197"/>
      <c r="R140" s="197"/>
      <c r="S140" s="197"/>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row>
    <row r="141" spans="1:92" s="916" customFormat="1" x14ac:dyDescent="0.25">
      <c r="A141" s="450" t="s">
        <v>409</v>
      </c>
      <c r="B141" s="913"/>
      <c r="C141" s="328"/>
      <c r="D141" s="329"/>
      <c r="E141" s="329"/>
      <c r="F141" s="329"/>
      <c r="G141" s="329"/>
      <c r="H141" s="329"/>
      <c r="I141" s="914"/>
      <c r="J141" s="914"/>
      <c r="K141" s="914"/>
      <c r="L141" s="914"/>
      <c r="M141" s="914"/>
      <c r="N141" s="914"/>
      <c r="O141" s="914"/>
      <c r="P141" s="914"/>
      <c r="Q141" s="914"/>
      <c r="R141" s="914"/>
      <c r="S141" s="914"/>
      <c r="T141" s="914"/>
      <c r="U141" s="914"/>
      <c r="V141" s="914"/>
      <c r="W141" s="914"/>
      <c r="X141" s="914"/>
      <c r="Y141" s="914"/>
      <c r="Z141" s="914"/>
      <c r="AA141" s="915"/>
      <c r="AB141" s="915"/>
      <c r="AC141" s="915"/>
      <c r="AD141" s="915"/>
      <c r="AE141" s="915"/>
      <c r="AF141" s="915"/>
      <c r="AG141" s="915"/>
      <c r="AH141" s="915"/>
      <c r="AI141" s="915"/>
      <c r="AJ141" s="915"/>
      <c r="AK141" s="915"/>
      <c r="AL141" s="915"/>
      <c r="AM141" s="915"/>
      <c r="AN141" s="915"/>
      <c r="AO141" s="915"/>
      <c r="AP141" s="915"/>
      <c r="AQ141" s="915"/>
      <c r="AR141" s="915"/>
      <c r="AS141" s="915"/>
      <c r="AT141" s="915"/>
      <c r="AU141" s="915"/>
      <c r="AV141" s="915"/>
      <c r="AW141" s="915"/>
      <c r="AX141" s="915"/>
      <c r="AY141" s="915"/>
      <c r="AZ141" s="915"/>
      <c r="BA141" s="915"/>
      <c r="BB141" s="915"/>
      <c r="BC141" s="915"/>
      <c r="BD141" s="915"/>
      <c r="BE141" s="915"/>
      <c r="BF141" s="915"/>
      <c r="BG141" s="915"/>
      <c r="BH141" s="915"/>
      <c r="BI141" s="915"/>
      <c r="BJ141" s="915"/>
      <c r="BK141" s="915"/>
      <c r="BL141" s="915"/>
      <c r="BM141" s="915"/>
      <c r="BN141" s="915"/>
      <c r="BO141" s="915"/>
      <c r="BP141" s="915"/>
      <c r="BQ141" s="915"/>
      <c r="BR141" s="915"/>
      <c r="BS141" s="915"/>
      <c r="BT141" s="915"/>
      <c r="BU141" s="915"/>
      <c r="BV141" s="915"/>
      <c r="BW141" s="915"/>
      <c r="BX141" s="915"/>
      <c r="BY141" s="915"/>
      <c r="BZ141" s="915"/>
      <c r="CA141" s="915"/>
      <c r="CB141" s="915"/>
      <c r="CC141" s="915"/>
      <c r="CD141" s="915"/>
      <c r="CE141" s="915"/>
      <c r="CF141" s="915"/>
      <c r="CG141" s="915"/>
      <c r="CH141" s="915"/>
      <c r="CI141" s="915"/>
      <c r="CJ141" s="915"/>
      <c r="CK141" s="915"/>
      <c r="CL141" s="915"/>
      <c r="CM141" s="915"/>
      <c r="CN141" s="915"/>
    </row>
    <row r="142" spans="1:92" s="916" customFormat="1" x14ac:dyDescent="0.25">
      <c r="A142" s="331"/>
      <c r="B142" s="440" t="s">
        <v>410</v>
      </c>
      <c r="C142" s="279"/>
      <c r="D142" s="333"/>
      <c r="E142" s="333"/>
      <c r="F142" s="333"/>
      <c r="G142" s="333"/>
      <c r="H142" s="333"/>
      <c r="I142" s="914"/>
      <c r="J142" s="914"/>
      <c r="K142" s="914"/>
      <c r="L142" s="914"/>
      <c r="M142" s="914"/>
      <c r="N142" s="914"/>
      <c r="O142" s="914"/>
      <c r="P142" s="914"/>
      <c r="Q142" s="914"/>
      <c r="R142" s="914"/>
      <c r="S142" s="914"/>
      <c r="T142" s="914"/>
      <c r="U142" s="914"/>
      <c r="V142" s="914"/>
      <c r="W142" s="914"/>
      <c r="X142" s="914"/>
      <c r="Y142" s="914"/>
      <c r="Z142" s="914"/>
      <c r="AA142" s="915"/>
      <c r="AB142" s="915"/>
      <c r="AC142" s="915"/>
      <c r="AD142" s="915"/>
      <c r="AE142" s="915"/>
      <c r="AF142" s="915"/>
      <c r="AG142" s="915"/>
      <c r="AH142" s="915"/>
      <c r="AI142" s="915"/>
      <c r="AJ142" s="915"/>
      <c r="AK142" s="915"/>
      <c r="AL142" s="915"/>
      <c r="AM142" s="915"/>
      <c r="AN142" s="915"/>
      <c r="AO142" s="915"/>
      <c r="AP142" s="915"/>
      <c r="AQ142" s="915"/>
      <c r="AR142" s="915"/>
      <c r="AS142" s="915"/>
      <c r="AT142" s="915"/>
      <c r="AU142" s="915"/>
      <c r="AV142" s="915"/>
      <c r="AW142" s="915"/>
      <c r="AX142" s="915"/>
      <c r="AY142" s="915"/>
      <c r="AZ142" s="915"/>
      <c r="BA142" s="915"/>
      <c r="BB142" s="915"/>
      <c r="BC142" s="915"/>
      <c r="BD142" s="915"/>
      <c r="BE142" s="915"/>
      <c r="BF142" s="915"/>
      <c r="BG142" s="915"/>
      <c r="BH142" s="915"/>
      <c r="BI142" s="915"/>
      <c r="BJ142" s="915"/>
      <c r="BK142" s="915"/>
      <c r="BL142" s="915"/>
      <c r="BM142" s="915"/>
      <c r="BN142" s="915"/>
      <c r="BO142" s="915"/>
      <c r="BP142" s="915"/>
      <c r="BQ142" s="915"/>
      <c r="BR142" s="915"/>
      <c r="BS142" s="915"/>
      <c r="BT142" s="915"/>
      <c r="BU142" s="915"/>
      <c r="BV142" s="915"/>
      <c r="BW142" s="915"/>
      <c r="BX142" s="915"/>
      <c r="BY142" s="915"/>
      <c r="BZ142" s="915"/>
      <c r="CA142" s="915"/>
      <c r="CB142" s="915"/>
      <c r="CC142" s="915"/>
      <c r="CD142" s="915"/>
      <c r="CE142" s="915"/>
      <c r="CF142" s="915"/>
      <c r="CG142" s="915"/>
      <c r="CH142" s="915"/>
      <c r="CI142" s="915"/>
      <c r="CJ142" s="915"/>
      <c r="CK142" s="915"/>
      <c r="CL142" s="915"/>
      <c r="CM142" s="915"/>
      <c r="CN142" s="915"/>
    </row>
    <row r="143" spans="1:92" s="916" customFormat="1" x14ac:dyDescent="0.25">
      <c r="A143" s="331"/>
      <c r="B143" s="440" t="s">
        <v>411</v>
      </c>
      <c r="C143" s="279"/>
      <c r="D143" s="333"/>
      <c r="E143" s="333"/>
      <c r="F143" s="333"/>
      <c r="G143" s="333"/>
      <c r="H143" s="333"/>
      <c r="I143" s="914"/>
      <c r="J143" s="914"/>
      <c r="K143" s="914"/>
      <c r="L143" s="914"/>
      <c r="M143" s="914"/>
      <c r="N143" s="914"/>
      <c r="O143" s="914"/>
      <c r="P143" s="914"/>
      <c r="Q143" s="914"/>
      <c r="R143" s="914"/>
      <c r="S143" s="914"/>
      <c r="T143" s="914"/>
      <c r="U143" s="914"/>
      <c r="V143" s="914"/>
      <c r="W143" s="914"/>
      <c r="X143" s="914"/>
      <c r="Y143" s="914"/>
      <c r="Z143" s="914"/>
      <c r="AA143" s="915"/>
      <c r="AB143" s="915"/>
      <c r="AC143" s="915"/>
      <c r="AD143" s="915"/>
      <c r="AE143" s="915"/>
      <c r="AF143" s="915"/>
      <c r="AG143" s="915"/>
      <c r="AH143" s="915"/>
      <c r="AI143" s="915"/>
      <c r="AJ143" s="915"/>
      <c r="AK143" s="915"/>
      <c r="AL143" s="915"/>
      <c r="AM143" s="915"/>
      <c r="AN143" s="915"/>
      <c r="AO143" s="915"/>
      <c r="AP143" s="915"/>
      <c r="AQ143" s="915"/>
      <c r="AR143" s="915"/>
      <c r="AS143" s="915"/>
      <c r="AT143" s="915"/>
      <c r="AU143" s="915"/>
      <c r="AV143" s="915"/>
      <c r="AW143" s="915"/>
      <c r="AX143" s="915"/>
      <c r="AY143" s="915"/>
      <c r="AZ143" s="915"/>
      <c r="BA143" s="915"/>
      <c r="BB143" s="915"/>
      <c r="BC143" s="915"/>
      <c r="BD143" s="915"/>
      <c r="BE143" s="915"/>
      <c r="BF143" s="915"/>
      <c r="BG143" s="915"/>
      <c r="BH143" s="915"/>
      <c r="BI143" s="915"/>
      <c r="BJ143" s="915"/>
      <c r="BK143" s="915"/>
      <c r="BL143" s="915"/>
      <c r="BM143" s="915"/>
      <c r="BN143" s="915"/>
      <c r="BO143" s="915"/>
      <c r="BP143" s="915"/>
      <c r="BQ143" s="915"/>
      <c r="BR143" s="915"/>
      <c r="BS143" s="915"/>
      <c r="BT143" s="915"/>
      <c r="BU143" s="915"/>
      <c r="BV143" s="915"/>
      <c r="BW143" s="915"/>
      <c r="BX143" s="915"/>
      <c r="BY143" s="915"/>
      <c r="BZ143" s="915"/>
      <c r="CA143" s="915"/>
      <c r="CB143" s="915"/>
      <c r="CC143" s="915"/>
      <c r="CD143" s="915"/>
      <c r="CE143" s="915"/>
      <c r="CF143" s="915"/>
      <c r="CG143" s="915"/>
      <c r="CH143" s="915"/>
      <c r="CI143" s="915"/>
      <c r="CJ143" s="915"/>
      <c r="CK143" s="915"/>
      <c r="CL143" s="915"/>
      <c r="CM143" s="915"/>
      <c r="CN143" s="915"/>
    </row>
    <row r="144" spans="1:92" s="916" customFormat="1" x14ac:dyDescent="0.25">
      <c r="A144" s="360"/>
      <c r="B144" s="441" t="s">
        <v>412</v>
      </c>
      <c r="C144" s="442"/>
      <c r="D144" s="444"/>
      <c r="E144" s="444"/>
      <c r="F144" s="444"/>
      <c r="G144" s="444"/>
      <c r="H144" s="444"/>
      <c r="I144" s="914"/>
      <c r="J144" s="914"/>
      <c r="K144" s="914"/>
      <c r="L144" s="914"/>
      <c r="M144" s="914"/>
      <c r="N144" s="914"/>
      <c r="O144" s="914"/>
      <c r="P144" s="914"/>
      <c r="Q144" s="914"/>
      <c r="R144" s="914"/>
      <c r="S144" s="914"/>
      <c r="T144" s="914"/>
      <c r="U144" s="914"/>
      <c r="V144" s="914"/>
      <c r="W144" s="914"/>
      <c r="X144" s="914"/>
      <c r="Y144" s="914"/>
      <c r="Z144" s="914"/>
      <c r="AA144" s="915"/>
      <c r="AB144" s="915"/>
      <c r="AC144" s="915"/>
      <c r="AD144" s="915"/>
      <c r="AE144" s="915"/>
      <c r="AF144" s="915"/>
      <c r="AG144" s="915"/>
      <c r="AH144" s="915"/>
      <c r="AI144" s="915"/>
      <c r="AJ144" s="915"/>
      <c r="AK144" s="915"/>
      <c r="AL144" s="915"/>
      <c r="AM144" s="915"/>
      <c r="AN144" s="915"/>
      <c r="AO144" s="915"/>
      <c r="AP144" s="915"/>
      <c r="AQ144" s="915"/>
      <c r="AR144" s="915"/>
      <c r="AS144" s="915"/>
      <c r="AT144" s="915"/>
      <c r="AU144" s="915"/>
      <c r="AV144" s="915"/>
      <c r="AW144" s="915"/>
      <c r="AX144" s="915"/>
      <c r="AY144" s="915"/>
      <c r="AZ144" s="915"/>
      <c r="BA144" s="915"/>
      <c r="BB144" s="915"/>
      <c r="BC144" s="915"/>
      <c r="BD144" s="915"/>
      <c r="BE144" s="915"/>
      <c r="BF144" s="915"/>
      <c r="BG144" s="915"/>
      <c r="BH144" s="915"/>
      <c r="BI144" s="915"/>
      <c r="BJ144" s="915"/>
      <c r="BK144" s="915"/>
      <c r="BL144" s="915"/>
      <c r="BM144" s="915"/>
      <c r="BN144" s="915"/>
      <c r="BO144" s="915"/>
      <c r="BP144" s="915"/>
      <c r="BQ144" s="915"/>
      <c r="BR144" s="915"/>
      <c r="BS144" s="915"/>
      <c r="BT144" s="915"/>
      <c r="BU144" s="915"/>
      <c r="BV144" s="915"/>
      <c r="BW144" s="915"/>
      <c r="BX144" s="915"/>
      <c r="BY144" s="915"/>
      <c r="BZ144" s="915"/>
      <c r="CA144" s="915"/>
      <c r="CB144" s="915"/>
      <c r="CC144" s="915"/>
      <c r="CD144" s="915"/>
      <c r="CE144" s="915"/>
      <c r="CF144" s="915"/>
      <c r="CG144" s="915"/>
      <c r="CH144" s="915"/>
      <c r="CI144" s="915"/>
      <c r="CJ144" s="915"/>
      <c r="CK144" s="915"/>
      <c r="CL144" s="915"/>
      <c r="CM144" s="915"/>
      <c r="CN144" s="915"/>
    </row>
    <row r="145" spans="1:86" s="199" customFormat="1" x14ac:dyDescent="0.25">
      <c r="A145" s="315" t="s">
        <v>49</v>
      </c>
      <c r="B145" s="316"/>
      <c r="C145" s="562"/>
      <c r="D145" s="317"/>
      <c r="E145" s="317"/>
      <c r="F145" s="317"/>
      <c r="G145" s="317"/>
      <c r="H145" s="317"/>
      <c r="I145" s="197"/>
      <c r="J145" s="197"/>
      <c r="K145" s="197"/>
      <c r="L145" s="197"/>
      <c r="M145" s="197"/>
      <c r="N145" s="197"/>
      <c r="O145" s="197"/>
      <c r="P145" s="197"/>
      <c r="Q145" s="197"/>
      <c r="R145" s="197"/>
      <c r="S145" s="197"/>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row>
    <row r="146" spans="1:86" s="199" customFormat="1" x14ac:dyDescent="0.25">
      <c r="A146" s="319" t="s">
        <v>186</v>
      </c>
      <c r="B146" s="206"/>
      <c r="C146" s="207"/>
      <c r="D146" s="320"/>
      <c r="E146" s="320"/>
      <c r="F146" s="320"/>
      <c r="G146" s="320"/>
      <c r="H146" s="320"/>
      <c r="I146" s="197"/>
      <c r="J146" s="197"/>
      <c r="K146" s="197"/>
      <c r="L146" s="197"/>
      <c r="M146" s="197"/>
      <c r="N146" s="197"/>
      <c r="O146" s="197"/>
      <c r="P146" s="197"/>
      <c r="Q146" s="197"/>
      <c r="R146" s="197"/>
      <c r="S146" s="197"/>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row>
    <row r="147" spans="1:86" s="199" customFormat="1" x14ac:dyDescent="0.25">
      <c r="A147" s="319" t="s">
        <v>311</v>
      </c>
      <c r="B147" s="206"/>
      <c r="C147" s="207"/>
      <c r="D147" s="320"/>
      <c r="E147" s="320"/>
      <c r="F147" s="320"/>
      <c r="G147" s="320"/>
      <c r="H147" s="320"/>
      <c r="I147" s="197"/>
      <c r="J147" s="197"/>
      <c r="K147" s="197"/>
      <c r="L147" s="197"/>
      <c r="M147" s="197"/>
      <c r="N147" s="197"/>
      <c r="O147" s="197"/>
      <c r="P147" s="197"/>
      <c r="Q147" s="197"/>
      <c r="R147" s="197"/>
      <c r="S147" s="197"/>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row>
    <row r="148" spans="1:86" s="199" customFormat="1" x14ac:dyDescent="0.25">
      <c r="A148" s="319" t="s">
        <v>312</v>
      </c>
      <c r="B148" s="206"/>
      <c r="C148" s="207"/>
      <c r="D148" s="320"/>
      <c r="E148" s="320"/>
      <c r="F148" s="320"/>
      <c r="G148" s="320"/>
      <c r="H148" s="320"/>
      <c r="I148" s="197"/>
      <c r="J148" s="197"/>
      <c r="K148" s="197"/>
      <c r="L148" s="197"/>
      <c r="M148" s="197"/>
      <c r="N148" s="197"/>
      <c r="O148" s="197"/>
      <c r="P148" s="197"/>
      <c r="Q148" s="197"/>
      <c r="R148" s="197"/>
      <c r="S148" s="197"/>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row>
    <row r="149" spans="1:86" s="199" customFormat="1" x14ac:dyDescent="0.25">
      <c r="A149" s="319" t="s">
        <v>282</v>
      </c>
      <c r="B149" s="206"/>
      <c r="C149" s="207"/>
      <c r="D149" s="320"/>
      <c r="E149" s="320"/>
      <c r="F149" s="320"/>
      <c r="G149" s="320"/>
      <c r="H149" s="320"/>
      <c r="I149" s="197"/>
      <c r="J149" s="197"/>
      <c r="K149" s="197"/>
      <c r="L149" s="197"/>
      <c r="M149" s="197"/>
      <c r="N149" s="197"/>
      <c r="O149" s="197"/>
      <c r="P149" s="197"/>
      <c r="Q149" s="197"/>
      <c r="R149" s="197"/>
      <c r="S149" s="197"/>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row>
    <row r="150" spans="1:86" s="199" customFormat="1" x14ac:dyDescent="0.25">
      <c r="A150" s="319" t="s">
        <v>47</v>
      </c>
      <c r="B150" s="206"/>
      <c r="C150" s="207"/>
      <c r="D150" s="320"/>
      <c r="E150" s="320"/>
      <c r="F150" s="320"/>
      <c r="G150" s="320"/>
      <c r="H150" s="320"/>
      <c r="I150" s="197"/>
      <c r="J150" s="197"/>
      <c r="K150" s="197"/>
      <c r="L150" s="197"/>
      <c r="M150" s="197"/>
      <c r="N150" s="197"/>
      <c r="O150" s="197"/>
      <c r="P150" s="197"/>
      <c r="Q150" s="197"/>
      <c r="R150" s="197"/>
      <c r="S150" s="197"/>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row>
    <row r="151" spans="1:86" s="199" customFormat="1" x14ac:dyDescent="0.25">
      <c r="A151" s="319" t="s">
        <v>153</v>
      </c>
      <c r="B151" s="206"/>
      <c r="C151" s="207"/>
      <c r="D151" s="891"/>
      <c r="E151" s="320"/>
      <c r="F151" s="320"/>
      <c r="G151" s="320"/>
      <c r="H151" s="320"/>
      <c r="I151" s="197"/>
      <c r="J151" s="197"/>
      <c r="K151" s="197"/>
      <c r="L151" s="197"/>
      <c r="M151" s="197"/>
      <c r="N151" s="197"/>
      <c r="O151" s="197"/>
      <c r="P151" s="197"/>
      <c r="Q151" s="197"/>
      <c r="R151" s="197"/>
      <c r="S151" s="197"/>
      <c r="T151" s="197"/>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row>
    <row r="152" spans="1:86" s="199" customFormat="1" x14ac:dyDescent="0.25">
      <c r="A152" s="319"/>
      <c r="B152" s="206" t="s">
        <v>374</v>
      </c>
      <c r="C152" s="207"/>
      <c r="D152" s="891"/>
      <c r="E152" s="320"/>
      <c r="F152" s="320"/>
      <c r="G152" s="320"/>
      <c r="H152" s="320"/>
      <c r="I152" s="197"/>
      <c r="J152" s="197"/>
      <c r="K152" s="197"/>
      <c r="L152" s="197"/>
      <c r="M152" s="197"/>
      <c r="N152" s="197"/>
      <c r="O152" s="197"/>
      <c r="P152" s="197"/>
      <c r="Q152" s="197"/>
      <c r="R152" s="197"/>
      <c r="S152" s="197"/>
      <c r="T152" s="197"/>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row>
    <row r="153" spans="1:86" s="199" customFormat="1" x14ac:dyDescent="0.25">
      <c r="A153" s="451" t="s">
        <v>233</v>
      </c>
      <c r="B153" s="206"/>
      <c r="C153" s="207"/>
      <c r="D153" s="891"/>
      <c r="E153" s="320"/>
      <c r="F153" s="320"/>
      <c r="G153" s="320"/>
      <c r="H153" s="320"/>
      <c r="I153" s="197"/>
      <c r="J153" s="197"/>
      <c r="K153" s="197"/>
      <c r="L153" s="197"/>
      <c r="M153" s="197"/>
      <c r="N153" s="197"/>
      <c r="O153" s="197"/>
      <c r="P153" s="197"/>
      <c r="Q153" s="197"/>
      <c r="R153" s="197"/>
      <c r="S153" s="197"/>
      <c r="T153" s="197"/>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row>
    <row r="154" spans="1:86" s="199" customFormat="1" x14ac:dyDescent="0.25">
      <c r="A154" s="319" t="s">
        <v>74</v>
      </c>
      <c r="B154" s="206"/>
      <c r="C154" s="207"/>
      <c r="D154" s="891"/>
      <c r="E154" s="320"/>
      <c r="F154" s="320"/>
      <c r="G154" s="320"/>
      <c r="H154" s="320"/>
      <c r="I154" s="197"/>
      <c r="J154" s="197"/>
      <c r="K154" s="197"/>
      <c r="L154" s="197"/>
      <c r="M154" s="197"/>
      <c r="N154" s="197"/>
      <c r="O154" s="197"/>
      <c r="P154" s="197"/>
      <c r="Q154" s="197"/>
      <c r="R154" s="197"/>
      <c r="S154" s="197"/>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row>
    <row r="155" spans="1:86" s="199" customFormat="1" x14ac:dyDescent="0.25">
      <c r="A155" s="319" t="s">
        <v>310</v>
      </c>
      <c r="B155" s="206"/>
      <c r="C155" s="207"/>
      <c r="D155" s="891"/>
      <c r="E155" s="320"/>
      <c r="F155" s="320"/>
      <c r="G155" s="320"/>
      <c r="H155" s="320"/>
      <c r="I155" s="197"/>
      <c r="J155" s="197"/>
      <c r="K155" s="197"/>
      <c r="L155" s="197"/>
      <c r="M155" s="197"/>
      <c r="N155" s="197"/>
      <c r="O155" s="197"/>
      <c r="P155" s="197"/>
      <c r="Q155" s="197"/>
      <c r="R155" s="197"/>
      <c r="S155" s="197"/>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row>
    <row r="156" spans="1:86" s="199" customFormat="1" x14ac:dyDescent="0.25">
      <c r="A156" s="319" t="s">
        <v>48</v>
      </c>
      <c r="B156" s="206"/>
      <c r="C156" s="207"/>
      <c r="D156" s="320"/>
      <c r="E156" s="320"/>
      <c r="F156" s="320"/>
      <c r="G156" s="320"/>
      <c r="H156" s="320"/>
      <c r="I156" s="197"/>
      <c r="J156" s="197"/>
      <c r="K156" s="197"/>
      <c r="L156" s="197"/>
      <c r="M156" s="197"/>
      <c r="N156" s="197"/>
      <c r="O156" s="197"/>
      <c r="P156" s="197"/>
      <c r="Q156" s="197"/>
      <c r="R156" s="197"/>
      <c r="S156" s="197"/>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row>
    <row r="157" spans="1:86" s="199" customFormat="1" x14ac:dyDescent="0.25">
      <c r="A157" s="322" t="s">
        <v>73</v>
      </c>
      <c r="B157" s="323"/>
      <c r="C157" s="714"/>
      <c r="D157" s="324"/>
      <c r="E157" s="324"/>
      <c r="F157" s="324"/>
      <c r="G157" s="324"/>
      <c r="H157" s="324"/>
      <c r="I157" s="197"/>
      <c r="J157" s="197"/>
      <c r="K157" s="197"/>
      <c r="L157" s="197"/>
      <c r="M157" s="197"/>
      <c r="N157" s="197"/>
      <c r="O157" s="197"/>
      <c r="P157" s="197"/>
      <c r="Q157" s="197"/>
      <c r="R157" s="197"/>
      <c r="S157" s="197"/>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row>
    <row r="158" spans="1:86" s="199" customFormat="1" x14ac:dyDescent="0.25">
      <c r="A158" s="839" t="s">
        <v>3</v>
      </c>
      <c r="B158" s="840"/>
      <c r="C158" s="841"/>
      <c r="D158" s="842"/>
      <c r="E158" s="842"/>
      <c r="F158" s="842"/>
      <c r="G158" s="842"/>
      <c r="H158" s="842"/>
      <c r="I158" s="197"/>
      <c r="J158" s="197"/>
      <c r="K158" s="197"/>
      <c r="L158" s="197"/>
      <c r="M158" s="197"/>
      <c r="N158" s="197"/>
      <c r="O158" s="197"/>
      <c r="P158" s="197"/>
      <c r="Q158" s="197"/>
      <c r="R158" s="197"/>
      <c r="S158" s="197"/>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row>
    <row r="159" spans="1:86" s="199" customFormat="1" ht="75.75" customHeight="1" x14ac:dyDescent="0.25">
      <c r="A159" s="1088" t="s">
        <v>193</v>
      </c>
      <c r="B159" s="1089"/>
      <c r="C159" s="453"/>
      <c r="D159" s="454"/>
      <c r="E159" s="454"/>
      <c r="F159" s="454"/>
      <c r="G159" s="454"/>
      <c r="H159" s="454"/>
      <c r="I159" s="197"/>
      <c r="J159" s="197"/>
      <c r="K159" s="197"/>
      <c r="L159" s="197"/>
      <c r="M159" s="197"/>
      <c r="N159" s="197"/>
      <c r="O159" s="197"/>
      <c r="P159" s="197"/>
      <c r="Q159" s="197"/>
      <c r="R159" s="197"/>
      <c r="S159" s="197"/>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row>
    <row r="160" spans="1:86" s="199" customFormat="1" ht="15" customHeight="1" x14ac:dyDescent="0.25">
      <c r="A160" s="1090" t="s">
        <v>190</v>
      </c>
      <c r="B160" s="1091"/>
      <c r="C160" s="328"/>
      <c r="D160" s="329"/>
      <c r="E160" s="329"/>
      <c r="F160" s="329"/>
      <c r="G160" s="329"/>
      <c r="H160" s="329"/>
      <c r="I160" s="197"/>
      <c r="J160" s="197"/>
      <c r="K160" s="197"/>
      <c r="L160" s="197"/>
      <c r="M160" s="197"/>
      <c r="N160" s="197"/>
      <c r="O160" s="197"/>
      <c r="P160" s="197"/>
      <c r="Q160" s="197"/>
      <c r="R160" s="197"/>
      <c r="S160" s="197"/>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row>
    <row r="161" spans="1:85" s="199" customFormat="1" ht="15" customHeight="1" x14ac:dyDescent="0.25">
      <c r="A161" s="455"/>
      <c r="B161" s="456" t="s">
        <v>191</v>
      </c>
      <c r="C161" s="279"/>
      <c r="D161" s="333"/>
      <c r="E161" s="333"/>
      <c r="F161" s="333"/>
      <c r="G161" s="333"/>
      <c r="H161" s="333"/>
      <c r="I161" s="197"/>
      <c r="J161" s="197"/>
      <c r="K161" s="197"/>
      <c r="L161" s="197"/>
      <c r="M161" s="197"/>
      <c r="N161" s="197"/>
      <c r="O161" s="197"/>
      <c r="P161" s="197"/>
      <c r="Q161" s="197"/>
      <c r="R161" s="197"/>
      <c r="S161" s="197"/>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c r="BV161" s="198"/>
      <c r="BW161" s="198"/>
      <c r="BX161" s="198"/>
      <c r="BY161" s="198"/>
      <c r="BZ161" s="198"/>
      <c r="CA161" s="198"/>
      <c r="CB161" s="198"/>
      <c r="CC161" s="198"/>
      <c r="CD161" s="198"/>
      <c r="CE161" s="198"/>
      <c r="CF161" s="198"/>
      <c r="CG161" s="198"/>
    </row>
    <row r="162" spans="1:85" s="199" customFormat="1" ht="15" customHeight="1" x14ac:dyDescent="0.25">
      <c r="A162" s="455"/>
      <c r="B162" s="456" t="s">
        <v>194</v>
      </c>
      <c r="C162" s="279"/>
      <c r="D162" s="333"/>
      <c r="E162" s="333"/>
      <c r="F162" s="333"/>
      <c r="G162" s="333"/>
      <c r="H162" s="333"/>
      <c r="I162" s="197"/>
      <c r="J162" s="197"/>
      <c r="K162" s="197"/>
      <c r="L162" s="197"/>
      <c r="M162" s="197"/>
      <c r="N162" s="197"/>
      <c r="O162" s="197"/>
      <c r="P162" s="197"/>
      <c r="Q162" s="197"/>
      <c r="R162" s="197"/>
      <c r="S162" s="197"/>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c r="BV162" s="198"/>
      <c r="BW162" s="198"/>
      <c r="BX162" s="198"/>
      <c r="BY162" s="198"/>
      <c r="BZ162" s="198"/>
      <c r="CA162" s="198"/>
      <c r="CB162" s="198"/>
      <c r="CC162" s="198"/>
      <c r="CD162" s="198"/>
      <c r="CE162" s="198"/>
      <c r="CF162" s="198"/>
      <c r="CG162" s="198"/>
    </row>
    <row r="163" spans="1:85" s="199" customFormat="1" ht="15" customHeight="1" x14ac:dyDescent="0.25">
      <c r="A163" s="455"/>
      <c r="B163" s="456" t="s">
        <v>192</v>
      </c>
      <c r="C163" s="279"/>
      <c r="D163" s="333"/>
      <c r="E163" s="333"/>
      <c r="F163" s="333"/>
      <c r="G163" s="333"/>
      <c r="H163" s="333"/>
      <c r="I163" s="197"/>
      <c r="J163" s="197"/>
      <c r="K163" s="197"/>
      <c r="L163" s="197"/>
      <c r="M163" s="197"/>
      <c r="N163" s="197"/>
      <c r="O163" s="197"/>
      <c r="P163" s="197"/>
      <c r="Q163" s="197"/>
      <c r="R163" s="197"/>
      <c r="S163" s="197"/>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c r="BU163" s="198"/>
      <c r="BV163" s="198"/>
      <c r="BW163" s="198"/>
      <c r="BX163" s="198"/>
      <c r="BY163" s="198"/>
      <c r="BZ163" s="198"/>
      <c r="CA163" s="198"/>
      <c r="CB163" s="198"/>
      <c r="CC163" s="198"/>
      <c r="CD163" s="198"/>
      <c r="CE163" s="198"/>
      <c r="CF163" s="198"/>
      <c r="CG163" s="198"/>
    </row>
    <row r="164" spans="1:85" s="199" customFormat="1" x14ac:dyDescent="0.25">
      <c r="A164" s="342"/>
      <c r="B164" s="457" t="s">
        <v>195</v>
      </c>
      <c r="C164" s="281"/>
      <c r="D164" s="458"/>
      <c r="E164" s="458"/>
      <c r="F164" s="458"/>
      <c r="G164" s="458"/>
      <c r="H164" s="458"/>
      <c r="I164" s="197"/>
      <c r="J164" s="197"/>
      <c r="K164" s="197"/>
      <c r="L164" s="197"/>
      <c r="M164" s="197"/>
      <c r="N164" s="197"/>
      <c r="O164" s="197"/>
      <c r="P164" s="197"/>
      <c r="Q164" s="197"/>
      <c r="R164" s="197"/>
      <c r="S164" s="197"/>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198"/>
      <c r="CF164" s="198"/>
      <c r="CG164" s="198"/>
    </row>
    <row r="165" spans="1:85" s="199" customFormat="1" x14ac:dyDescent="0.25">
      <c r="A165" s="459" t="s">
        <v>76</v>
      </c>
      <c r="B165" s="204"/>
      <c r="C165" s="205"/>
      <c r="D165" s="460"/>
      <c r="E165" s="460"/>
      <c r="F165" s="460"/>
      <c r="G165" s="460"/>
      <c r="H165" s="460"/>
      <c r="I165" s="197"/>
      <c r="J165" s="197"/>
      <c r="K165" s="197"/>
      <c r="L165" s="197"/>
      <c r="M165" s="197"/>
      <c r="N165" s="197"/>
      <c r="O165" s="197"/>
      <c r="P165" s="197"/>
      <c r="Q165" s="197"/>
      <c r="R165" s="197"/>
      <c r="S165" s="197"/>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row>
    <row r="166" spans="1:85" s="199" customFormat="1" x14ac:dyDescent="0.25">
      <c r="A166" s="319"/>
      <c r="B166" s="206" t="s">
        <v>8</v>
      </c>
      <c r="C166" s="207"/>
      <c r="D166" s="320"/>
      <c r="E166" s="320"/>
      <c r="F166" s="320"/>
      <c r="G166" s="320"/>
      <c r="H166" s="320"/>
      <c r="I166" s="197"/>
      <c r="J166" s="197"/>
      <c r="K166" s="197"/>
      <c r="L166" s="197"/>
      <c r="M166" s="197"/>
      <c r="N166" s="197"/>
      <c r="O166" s="197"/>
      <c r="P166" s="197"/>
      <c r="Q166" s="197"/>
      <c r="R166" s="197"/>
      <c r="S166" s="197"/>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row>
    <row r="167" spans="1:85" s="199" customFormat="1" x14ac:dyDescent="0.25">
      <c r="A167" s="319"/>
      <c r="B167" s="206" t="s">
        <v>9</v>
      </c>
      <c r="C167" s="207"/>
      <c r="D167" s="320"/>
      <c r="E167" s="320"/>
      <c r="F167" s="320"/>
      <c r="G167" s="320"/>
      <c r="H167" s="320"/>
      <c r="I167" s="197"/>
      <c r="J167" s="197"/>
      <c r="K167" s="197"/>
      <c r="L167" s="197"/>
      <c r="M167" s="197"/>
      <c r="N167" s="197"/>
      <c r="O167" s="197"/>
      <c r="P167" s="197"/>
      <c r="Q167" s="197"/>
      <c r="R167" s="197"/>
      <c r="S167" s="197"/>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c r="BV167" s="198"/>
      <c r="BW167" s="198"/>
      <c r="BX167" s="198"/>
      <c r="BY167" s="198"/>
      <c r="BZ167" s="198"/>
      <c r="CA167" s="198"/>
      <c r="CB167" s="198"/>
      <c r="CC167" s="198"/>
      <c r="CD167" s="198"/>
      <c r="CE167" s="198"/>
      <c r="CF167" s="198"/>
      <c r="CG167" s="198"/>
    </row>
    <row r="168" spans="1:85" s="199" customFormat="1" x14ac:dyDescent="0.25">
      <c r="A168" s="351"/>
      <c r="B168" s="209" t="s">
        <v>124</v>
      </c>
      <c r="C168" s="210"/>
      <c r="D168" s="452"/>
      <c r="E168" s="452"/>
      <c r="F168" s="452"/>
      <c r="G168" s="452"/>
      <c r="H168" s="452"/>
      <c r="I168" s="197"/>
      <c r="J168" s="197"/>
      <c r="K168" s="197"/>
      <c r="L168" s="197"/>
      <c r="M168" s="197"/>
      <c r="N168" s="197"/>
      <c r="O168" s="197"/>
      <c r="P168" s="197"/>
      <c r="Q168" s="197"/>
      <c r="R168" s="197"/>
      <c r="S168" s="197"/>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c r="BU168" s="198"/>
      <c r="BV168" s="198"/>
      <c r="BW168" s="198"/>
      <c r="BX168" s="198"/>
      <c r="BY168" s="198"/>
      <c r="BZ168" s="198"/>
      <c r="CA168" s="198"/>
      <c r="CB168" s="198"/>
      <c r="CC168" s="198"/>
      <c r="CD168" s="198"/>
      <c r="CE168" s="198"/>
      <c r="CF168" s="198"/>
      <c r="CG168" s="198"/>
    </row>
    <row r="169" spans="1:85" s="199" customFormat="1" x14ac:dyDescent="0.25">
      <c r="A169" s="461" t="s">
        <v>51</v>
      </c>
      <c r="B169" s="356"/>
      <c r="C169" s="462"/>
      <c r="D169" s="463"/>
      <c r="E169" s="463"/>
      <c r="F169" s="463"/>
      <c r="G169" s="463"/>
      <c r="H169" s="463"/>
      <c r="I169" s="197"/>
      <c r="J169" s="197"/>
      <c r="K169" s="197"/>
      <c r="L169" s="197"/>
      <c r="M169" s="197"/>
      <c r="N169" s="197"/>
      <c r="O169" s="197"/>
      <c r="P169" s="197"/>
      <c r="Q169" s="197"/>
      <c r="R169" s="197"/>
      <c r="S169" s="197"/>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c r="BU169" s="198"/>
      <c r="BV169" s="198"/>
      <c r="BW169" s="198"/>
      <c r="BX169" s="198"/>
      <c r="BY169" s="198"/>
      <c r="BZ169" s="198"/>
      <c r="CA169" s="198"/>
      <c r="CB169" s="198"/>
      <c r="CC169" s="198"/>
      <c r="CD169" s="198"/>
      <c r="CE169" s="198"/>
      <c r="CF169" s="198"/>
      <c r="CG169" s="198"/>
    </row>
    <row r="170" spans="1:85" s="199" customFormat="1" x14ac:dyDescent="0.25">
      <c r="A170" s="331"/>
      <c r="B170" s="332" t="s">
        <v>168</v>
      </c>
      <c r="C170" s="279"/>
      <c r="D170" s="333"/>
      <c r="E170" s="333"/>
      <c r="F170" s="333"/>
      <c r="G170" s="333"/>
      <c r="H170" s="333"/>
      <c r="I170" s="197"/>
      <c r="J170" s="197"/>
      <c r="K170" s="197"/>
      <c r="L170" s="197"/>
      <c r="M170" s="197"/>
      <c r="N170" s="197"/>
      <c r="O170" s="197"/>
      <c r="P170" s="197"/>
      <c r="Q170" s="197"/>
      <c r="R170" s="197"/>
      <c r="S170" s="197"/>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c r="BV170" s="198"/>
      <c r="BW170" s="198"/>
      <c r="BX170" s="198"/>
      <c r="BY170" s="198"/>
      <c r="BZ170" s="198"/>
      <c r="CA170" s="198"/>
      <c r="CB170" s="198"/>
      <c r="CC170" s="198"/>
      <c r="CD170" s="198"/>
      <c r="CE170" s="198"/>
      <c r="CF170" s="198"/>
      <c r="CG170" s="198"/>
    </row>
    <row r="171" spans="1:85" s="199" customFormat="1" x14ac:dyDescent="0.25">
      <c r="A171" s="360"/>
      <c r="B171" s="406" t="s">
        <v>52</v>
      </c>
      <c r="C171" s="442"/>
      <c r="D171" s="444"/>
      <c r="E171" s="444"/>
      <c r="F171" s="444"/>
      <c r="G171" s="444"/>
      <c r="H171" s="444"/>
      <c r="I171" s="197"/>
      <c r="J171" s="197"/>
      <c r="K171" s="197"/>
      <c r="L171" s="197"/>
      <c r="M171" s="197"/>
      <c r="N171" s="197"/>
      <c r="O171" s="197"/>
      <c r="P171" s="197"/>
      <c r="Q171" s="197"/>
      <c r="R171" s="197"/>
      <c r="S171" s="197"/>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row>
    <row r="172" spans="1:85" s="199" customFormat="1" x14ac:dyDescent="0.25">
      <c r="A172" s="904" t="s">
        <v>75</v>
      </c>
      <c r="B172" s="905"/>
      <c r="C172" s="906"/>
      <c r="D172" s="907"/>
      <c r="E172" s="907"/>
      <c r="F172" s="907"/>
      <c r="G172" s="907"/>
      <c r="H172" s="907"/>
      <c r="I172" s="197"/>
      <c r="J172" s="197"/>
      <c r="K172" s="197"/>
      <c r="L172" s="197"/>
      <c r="M172" s="197"/>
      <c r="N172" s="197"/>
      <c r="O172" s="197"/>
      <c r="P172" s="197"/>
      <c r="Q172" s="197"/>
      <c r="R172" s="197"/>
      <c r="S172" s="197"/>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c r="BU172" s="198"/>
      <c r="BV172" s="198"/>
      <c r="BW172" s="198"/>
      <c r="BX172" s="198"/>
      <c r="BY172" s="198"/>
      <c r="BZ172" s="198"/>
      <c r="CA172" s="198"/>
      <c r="CB172" s="198"/>
      <c r="CC172" s="198"/>
      <c r="CD172" s="198"/>
      <c r="CE172" s="198"/>
      <c r="CF172" s="198"/>
      <c r="CG172" s="198"/>
    </row>
    <row r="173" spans="1:85" s="199" customFormat="1" x14ac:dyDescent="0.25">
      <c r="A173" s="480" t="s">
        <v>403</v>
      </c>
      <c r="B173" s="481"/>
      <c r="C173" s="482"/>
      <c r="D173" s="483"/>
      <c r="E173" s="483"/>
      <c r="F173" s="483"/>
      <c r="G173" s="483"/>
      <c r="H173" s="483"/>
      <c r="I173" s="197"/>
      <c r="J173" s="197"/>
      <c r="K173" s="197"/>
      <c r="L173" s="197"/>
      <c r="M173" s="197"/>
      <c r="N173" s="197"/>
      <c r="O173" s="197"/>
      <c r="P173" s="197"/>
      <c r="Q173" s="197"/>
      <c r="R173" s="197"/>
      <c r="S173" s="197"/>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c r="BU173" s="198"/>
      <c r="BV173" s="198"/>
      <c r="BW173" s="198"/>
      <c r="BX173" s="198"/>
      <c r="BY173" s="198"/>
      <c r="BZ173" s="198"/>
      <c r="CA173" s="198"/>
      <c r="CB173" s="198"/>
      <c r="CC173" s="198"/>
      <c r="CD173" s="198"/>
      <c r="CE173" s="198"/>
      <c r="CF173" s="198"/>
      <c r="CG173" s="198"/>
    </row>
    <row r="174" spans="1:85" s="199" customFormat="1" x14ac:dyDescent="0.25">
      <c r="A174" s="331"/>
      <c r="B174" s="332" t="s">
        <v>404</v>
      </c>
      <c r="C174" s="279"/>
      <c r="D174" s="333"/>
      <c r="E174" s="333"/>
      <c r="F174" s="333"/>
      <c r="G174" s="333"/>
      <c r="H174" s="333"/>
      <c r="I174" s="197"/>
      <c r="J174" s="197"/>
      <c r="K174" s="197"/>
      <c r="L174" s="197"/>
      <c r="M174" s="197"/>
      <c r="N174" s="197"/>
      <c r="O174" s="197"/>
      <c r="P174" s="197"/>
      <c r="Q174" s="197"/>
      <c r="R174" s="197"/>
      <c r="S174" s="197"/>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c r="BU174" s="198"/>
      <c r="BV174" s="198"/>
      <c r="BW174" s="198"/>
      <c r="BX174" s="198"/>
      <c r="BY174" s="198"/>
      <c r="BZ174" s="198"/>
      <c r="CA174" s="198"/>
      <c r="CB174" s="198"/>
      <c r="CC174" s="198"/>
      <c r="CD174" s="198"/>
      <c r="CE174" s="198"/>
      <c r="CF174" s="198"/>
      <c r="CG174" s="198"/>
    </row>
    <row r="175" spans="1:85" s="199" customFormat="1" x14ac:dyDescent="0.25">
      <c r="A175" s="331"/>
      <c r="B175" s="332" t="s">
        <v>405</v>
      </c>
      <c r="C175" s="279"/>
      <c r="D175" s="333"/>
      <c r="E175" s="333"/>
      <c r="F175" s="333"/>
      <c r="G175" s="333"/>
      <c r="H175" s="333"/>
      <c r="I175" s="197"/>
      <c r="J175" s="197"/>
      <c r="K175" s="197"/>
      <c r="L175" s="197"/>
      <c r="M175" s="197"/>
      <c r="N175" s="197"/>
      <c r="O175" s="197"/>
      <c r="P175" s="197"/>
      <c r="Q175" s="197"/>
      <c r="R175" s="197"/>
      <c r="S175" s="197"/>
      <c r="T175" s="198"/>
      <c r="U175" s="198"/>
      <c r="V175" s="198"/>
      <c r="W175" s="198"/>
      <c r="X175" s="198"/>
      <c r="Y175" s="198"/>
      <c r="Z175" s="198"/>
      <c r="AA175" s="198"/>
      <c r="AB175" s="198"/>
      <c r="AC175" s="198"/>
      <c r="AD175" s="198"/>
      <c r="AE175" s="198"/>
      <c r="AF175" s="198"/>
      <c r="AG175" s="198"/>
      <c r="AH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row>
    <row r="176" spans="1:85" s="199" customFormat="1" x14ac:dyDescent="0.25">
      <c r="A176" s="331"/>
      <c r="B176" s="332" t="s">
        <v>406</v>
      </c>
      <c r="C176" s="279"/>
      <c r="D176" s="333"/>
      <c r="E176" s="333"/>
      <c r="F176" s="333"/>
      <c r="G176" s="333"/>
      <c r="H176" s="333"/>
      <c r="I176" s="197"/>
      <c r="J176" s="197"/>
      <c r="K176" s="197"/>
      <c r="L176" s="197"/>
      <c r="M176" s="197"/>
      <c r="N176" s="197"/>
      <c r="O176" s="197"/>
      <c r="P176" s="197"/>
      <c r="Q176" s="197"/>
      <c r="R176" s="197"/>
      <c r="S176" s="197"/>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row>
    <row r="177" spans="1:85" s="199" customFormat="1" x14ac:dyDescent="0.25">
      <c r="A177" s="360"/>
      <c r="B177" s="406"/>
      <c r="C177" s="442"/>
      <c r="D177" s="444"/>
      <c r="E177" s="444"/>
      <c r="F177" s="444"/>
      <c r="G177" s="444"/>
      <c r="H177" s="444"/>
      <c r="I177" s="197"/>
      <c r="J177" s="197"/>
      <c r="K177" s="197"/>
      <c r="L177" s="197"/>
      <c r="M177" s="197"/>
      <c r="N177" s="197"/>
      <c r="O177" s="197"/>
      <c r="P177" s="197"/>
      <c r="Q177" s="197"/>
      <c r="R177" s="197"/>
      <c r="S177" s="197"/>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row>
    <row r="178" spans="1:85" s="469" customFormat="1" ht="15.6" x14ac:dyDescent="0.25">
      <c r="A178" s="465" t="s">
        <v>209</v>
      </c>
      <c r="B178" s="228"/>
      <c r="C178" s="466"/>
      <c r="D178" s="467"/>
      <c r="E178" s="468"/>
      <c r="F178" s="307"/>
      <c r="G178" s="229"/>
      <c r="H178" s="229"/>
    </row>
    <row r="179" spans="1:85" s="469" customFormat="1" x14ac:dyDescent="0.25">
      <c r="A179" s="230" t="s">
        <v>210</v>
      </c>
      <c r="B179" s="231"/>
      <c r="C179" s="470"/>
      <c r="D179" s="471"/>
      <c r="E179" s="472"/>
      <c r="F179" s="264"/>
      <c r="G179" s="232"/>
      <c r="H179" s="232"/>
    </row>
    <row r="180" spans="1:85" s="469" customFormat="1" x14ac:dyDescent="0.25">
      <c r="A180" s="230"/>
      <c r="B180" s="231" t="s">
        <v>156</v>
      </c>
      <c r="C180" s="470"/>
      <c r="D180" s="471"/>
      <c r="E180" s="472"/>
      <c r="F180" s="264"/>
      <c r="G180" s="232"/>
      <c r="H180" s="232"/>
    </row>
    <row r="181" spans="1:85" s="469" customFormat="1" x14ac:dyDescent="0.25">
      <c r="A181" s="230"/>
      <c r="B181" s="231" t="s">
        <v>157</v>
      </c>
      <c r="C181" s="470"/>
      <c r="D181" s="471"/>
      <c r="E181" s="472"/>
      <c r="F181" s="264"/>
      <c r="G181" s="232"/>
      <c r="H181" s="232"/>
    </row>
    <row r="182" spans="1:85" s="469" customFormat="1" x14ac:dyDescent="0.25">
      <c r="A182" s="230"/>
      <c r="B182" s="231" t="s">
        <v>158</v>
      </c>
      <c r="C182" s="470"/>
      <c r="D182" s="471"/>
      <c r="E182" s="472"/>
      <c r="F182" s="264"/>
      <c r="G182" s="232"/>
      <c r="H182" s="232"/>
    </row>
    <row r="183" spans="1:85" s="469" customFormat="1" x14ac:dyDescent="0.25">
      <c r="A183" s="230"/>
      <c r="B183" s="231" t="s">
        <v>159</v>
      </c>
      <c r="C183" s="470"/>
      <c r="D183" s="471"/>
      <c r="E183" s="472"/>
      <c r="F183" s="264"/>
      <c r="G183" s="232"/>
      <c r="H183" s="232"/>
    </row>
    <row r="184" spans="1:85" s="469" customFormat="1" x14ac:dyDescent="0.25">
      <c r="A184" s="230" t="s">
        <v>211</v>
      </c>
      <c r="B184" s="231"/>
      <c r="C184" s="470"/>
      <c r="D184" s="471"/>
      <c r="E184" s="472"/>
      <c r="F184" s="264"/>
      <c r="G184" s="232"/>
      <c r="H184" s="232"/>
    </row>
    <row r="185" spans="1:85" s="469" customFormat="1" x14ac:dyDescent="0.25">
      <c r="A185" s="230"/>
      <c r="B185" s="231" t="s">
        <v>156</v>
      </c>
      <c r="C185" s="470"/>
      <c r="D185" s="471"/>
      <c r="E185" s="472"/>
      <c r="F185" s="264"/>
      <c r="G185" s="232"/>
      <c r="H185" s="232"/>
    </row>
    <row r="186" spans="1:85" s="469" customFormat="1" x14ac:dyDescent="0.25">
      <c r="A186" s="230"/>
      <c r="B186" s="231" t="s">
        <v>157</v>
      </c>
      <c r="C186" s="470"/>
      <c r="D186" s="471"/>
      <c r="E186" s="472"/>
      <c r="F186" s="264"/>
      <c r="G186" s="232"/>
      <c r="H186" s="232"/>
    </row>
    <row r="187" spans="1:85" s="469" customFormat="1" x14ac:dyDescent="0.25">
      <c r="A187" s="230"/>
      <c r="B187" s="231" t="s">
        <v>158</v>
      </c>
      <c r="C187" s="470"/>
      <c r="D187" s="471"/>
      <c r="E187" s="472"/>
      <c r="F187" s="264"/>
      <c r="G187" s="232"/>
      <c r="H187" s="232"/>
    </row>
    <row r="188" spans="1:85" s="469" customFormat="1" x14ac:dyDescent="0.25">
      <c r="A188" s="230"/>
      <c r="B188" s="231" t="s">
        <v>159</v>
      </c>
      <c r="C188" s="470"/>
      <c r="D188" s="471"/>
      <c r="E188" s="472"/>
      <c r="F188" s="264"/>
      <c r="G188" s="232"/>
      <c r="H188" s="232"/>
    </row>
    <row r="189" spans="1:85" s="469" customFormat="1" x14ac:dyDescent="0.25">
      <c r="A189" s="230" t="s">
        <v>212</v>
      </c>
      <c r="B189" s="231"/>
      <c r="C189" s="470"/>
      <c r="D189" s="471"/>
      <c r="E189" s="472"/>
      <c r="F189" s="264"/>
      <c r="G189" s="232"/>
      <c r="H189" s="232"/>
    </row>
    <row r="190" spans="1:85" s="469" customFormat="1" x14ac:dyDescent="0.25">
      <c r="A190" s="230"/>
      <c r="B190" s="231" t="s">
        <v>448</v>
      </c>
      <c r="C190" s="470"/>
      <c r="D190" s="471"/>
      <c r="E190" s="472"/>
      <c r="F190" s="264"/>
      <c r="G190" s="232"/>
      <c r="H190" s="232"/>
    </row>
    <row r="191" spans="1:85" s="469" customFormat="1" x14ac:dyDescent="0.25">
      <c r="A191" s="230"/>
      <c r="B191" s="231" t="s">
        <v>156</v>
      </c>
      <c r="C191" s="470"/>
      <c r="D191" s="471"/>
      <c r="E191" s="472"/>
      <c r="F191" s="264"/>
      <c r="G191" s="232"/>
      <c r="H191" s="232"/>
    </row>
    <row r="192" spans="1:85" s="469" customFormat="1" x14ac:dyDescent="0.25">
      <c r="A192" s="230"/>
      <c r="B192" s="231" t="s">
        <v>157</v>
      </c>
      <c r="C192" s="470"/>
      <c r="D192" s="471"/>
      <c r="E192" s="472"/>
      <c r="F192" s="264"/>
      <c r="G192" s="232"/>
      <c r="H192" s="232"/>
    </row>
    <row r="193" spans="1:85" s="469" customFormat="1" x14ac:dyDescent="0.25">
      <c r="A193" s="230"/>
      <c r="B193" s="231" t="s">
        <v>158</v>
      </c>
      <c r="C193" s="470"/>
      <c r="D193" s="471"/>
      <c r="E193" s="472"/>
      <c r="F193" s="264"/>
      <c r="G193" s="232"/>
      <c r="H193" s="232"/>
    </row>
    <row r="194" spans="1:85" s="469" customFormat="1" x14ac:dyDescent="0.25">
      <c r="A194" s="230"/>
      <c r="B194" s="231" t="s">
        <v>159</v>
      </c>
      <c r="C194" s="470"/>
      <c r="D194" s="471"/>
      <c r="E194" s="472"/>
      <c r="F194" s="264"/>
      <c r="G194" s="232"/>
      <c r="H194" s="232"/>
    </row>
    <row r="195" spans="1:85" s="469" customFormat="1" x14ac:dyDescent="0.25">
      <c r="A195" s="230" t="s">
        <v>213</v>
      </c>
      <c r="B195" s="231"/>
      <c r="C195" s="470"/>
      <c r="D195" s="471"/>
      <c r="E195" s="472"/>
      <c r="F195" s="264"/>
      <c r="G195" s="232"/>
      <c r="H195" s="232"/>
    </row>
    <row r="196" spans="1:85" s="469" customFormat="1" x14ac:dyDescent="0.25">
      <c r="A196" s="230"/>
      <c r="B196" s="231" t="s">
        <v>156</v>
      </c>
      <c r="C196" s="470"/>
      <c r="D196" s="471"/>
      <c r="E196" s="472"/>
      <c r="F196" s="264"/>
      <c r="G196" s="232"/>
      <c r="H196" s="232"/>
    </row>
    <row r="197" spans="1:85" s="469" customFormat="1" x14ac:dyDescent="0.25">
      <c r="A197" s="230"/>
      <c r="B197" s="231" t="s">
        <v>157</v>
      </c>
      <c r="C197" s="470"/>
      <c r="D197" s="471"/>
      <c r="E197" s="472"/>
      <c r="F197" s="264"/>
      <c r="G197" s="232"/>
      <c r="H197" s="232"/>
    </row>
    <row r="198" spans="1:85" s="469" customFormat="1" x14ac:dyDescent="0.25">
      <c r="A198" s="230"/>
      <c r="B198" s="231" t="s">
        <v>158</v>
      </c>
      <c r="C198" s="470"/>
      <c r="D198" s="471"/>
      <c r="E198" s="472"/>
      <c r="F198" s="264"/>
      <c r="G198" s="232"/>
      <c r="H198" s="232"/>
    </row>
    <row r="199" spans="1:85" s="469" customFormat="1" x14ac:dyDescent="0.25">
      <c r="A199" s="230"/>
      <c r="B199" s="231" t="s">
        <v>159</v>
      </c>
      <c r="C199" s="470"/>
      <c r="D199" s="471"/>
      <c r="E199" s="472"/>
      <c r="F199" s="264"/>
      <c r="G199" s="232"/>
      <c r="H199" s="232"/>
    </row>
    <row r="200" spans="1:85" s="469" customFormat="1" x14ac:dyDescent="0.25">
      <c r="A200" s="233"/>
      <c r="B200" s="234"/>
      <c r="C200" s="473"/>
      <c r="D200" s="474"/>
      <c r="E200" s="475"/>
      <c r="F200" s="308"/>
      <c r="G200" s="235"/>
      <c r="H200" s="235"/>
    </row>
    <row r="201" spans="1:85" s="199" customFormat="1" ht="15.6" x14ac:dyDescent="0.25">
      <c r="A201" s="476" t="s">
        <v>283</v>
      </c>
      <c r="B201" s="477"/>
      <c r="C201" s="478"/>
      <c r="D201" s="479"/>
      <c r="E201" s="479"/>
      <c r="F201" s="479"/>
      <c r="G201" s="479"/>
      <c r="H201" s="479"/>
      <c r="I201" s="197"/>
      <c r="J201" s="197"/>
      <c r="K201" s="197"/>
      <c r="L201" s="197"/>
      <c r="M201" s="197"/>
      <c r="N201" s="197"/>
      <c r="O201" s="197"/>
      <c r="P201" s="197"/>
      <c r="Q201" s="197"/>
      <c r="R201" s="197"/>
      <c r="S201" s="197"/>
      <c r="T201" s="198"/>
      <c r="U201" s="198"/>
      <c r="V201" s="198"/>
      <c r="W201" s="198"/>
      <c r="X201" s="198"/>
      <c r="Y201" s="198"/>
      <c r="Z201" s="198"/>
      <c r="AA201" s="198"/>
      <c r="AB201" s="198"/>
      <c r="AC201" s="198"/>
      <c r="AD201" s="198"/>
      <c r="AE201" s="198"/>
      <c r="AF201" s="198"/>
      <c r="AG201" s="198"/>
      <c r="AH201" s="198"/>
      <c r="AI201" s="198"/>
      <c r="AJ201" s="198"/>
      <c r="AK201" s="198"/>
      <c r="AL201" s="198"/>
      <c r="AM201" s="198"/>
      <c r="AN201" s="198"/>
      <c r="AO201" s="198"/>
      <c r="AP201" s="198"/>
      <c r="AQ201" s="198"/>
      <c r="AR201" s="198"/>
      <c r="AS201" s="198"/>
      <c r="AT201" s="198"/>
      <c r="AU201" s="198"/>
      <c r="AV201" s="198"/>
      <c r="AW201" s="198"/>
      <c r="AX201" s="198"/>
      <c r="AY201" s="198"/>
      <c r="AZ201" s="198"/>
      <c r="BA201" s="198"/>
      <c r="BB201" s="198"/>
      <c r="BC201" s="198"/>
      <c r="BD201" s="198"/>
      <c r="BE201" s="198"/>
      <c r="BF201" s="198"/>
      <c r="BG201" s="198"/>
      <c r="BH201" s="198"/>
      <c r="BI201" s="198"/>
      <c r="BJ201" s="198"/>
      <c r="BK201" s="198"/>
      <c r="BL201" s="198"/>
      <c r="BM201" s="198"/>
      <c r="BN201" s="198"/>
      <c r="BO201" s="198"/>
      <c r="BP201" s="198"/>
      <c r="BQ201" s="198"/>
      <c r="BR201" s="198"/>
      <c r="BS201" s="198"/>
      <c r="BT201" s="198"/>
      <c r="BU201" s="198"/>
      <c r="BV201" s="198"/>
      <c r="BW201" s="198"/>
      <c r="BX201" s="198"/>
      <c r="BY201" s="198"/>
      <c r="BZ201" s="198"/>
      <c r="CA201" s="198"/>
      <c r="CB201" s="198"/>
      <c r="CC201" s="198"/>
      <c r="CD201" s="198"/>
      <c r="CE201" s="198"/>
      <c r="CF201" s="198"/>
      <c r="CG201" s="198"/>
    </row>
    <row r="202" spans="1:85" s="199" customFormat="1" x14ac:dyDescent="0.25">
      <c r="A202" s="480" t="s">
        <v>24</v>
      </c>
      <c r="B202" s="481"/>
      <c r="C202" s="482"/>
      <c r="D202" s="483"/>
      <c r="E202" s="483"/>
      <c r="F202" s="483"/>
      <c r="G202" s="483"/>
      <c r="H202" s="483"/>
      <c r="I202" s="197"/>
      <c r="J202" s="197"/>
      <c r="K202" s="197"/>
      <c r="L202" s="197"/>
      <c r="M202" s="197"/>
      <c r="N202" s="197"/>
      <c r="O202" s="197"/>
      <c r="P202" s="197"/>
      <c r="Q202" s="197"/>
      <c r="R202" s="197"/>
      <c r="S202" s="197"/>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c r="BE202" s="198"/>
      <c r="BF202" s="198"/>
      <c r="BG202" s="198"/>
      <c r="BH202" s="198"/>
      <c r="BI202" s="198"/>
      <c r="BJ202" s="198"/>
      <c r="BK202" s="198"/>
      <c r="BL202" s="198"/>
      <c r="BM202" s="198"/>
      <c r="BN202" s="198"/>
      <c r="BO202" s="198"/>
      <c r="BP202" s="198"/>
      <c r="BQ202" s="198"/>
      <c r="BR202" s="198"/>
      <c r="BS202" s="198"/>
      <c r="BT202" s="198"/>
      <c r="BU202" s="198"/>
      <c r="BV202" s="198"/>
      <c r="BW202" s="198"/>
      <c r="BX202" s="198"/>
      <c r="BY202" s="198"/>
      <c r="BZ202" s="198"/>
      <c r="CA202" s="198"/>
      <c r="CB202" s="198"/>
      <c r="CC202" s="198"/>
      <c r="CD202" s="198"/>
      <c r="CE202" s="198"/>
      <c r="CF202" s="198"/>
      <c r="CG202" s="198"/>
    </row>
    <row r="203" spans="1:85" s="199" customFormat="1" x14ac:dyDescent="0.25">
      <c r="A203" s="331"/>
      <c r="B203" s="332"/>
      <c r="C203" s="279"/>
      <c r="D203" s="333"/>
      <c r="E203" s="333"/>
      <c r="F203" s="333"/>
      <c r="G203" s="333"/>
      <c r="H203" s="333"/>
      <c r="I203" s="197"/>
      <c r="J203" s="197"/>
      <c r="K203" s="197"/>
      <c r="L203" s="197"/>
      <c r="M203" s="197"/>
      <c r="N203" s="197"/>
      <c r="O203" s="197"/>
      <c r="P203" s="197"/>
      <c r="Q203" s="197"/>
      <c r="R203" s="197"/>
      <c r="S203" s="197"/>
      <c r="T203" s="198"/>
      <c r="U203" s="198"/>
      <c r="V203" s="198"/>
      <c r="W203" s="198"/>
      <c r="X203" s="198"/>
      <c r="Y203" s="198"/>
      <c r="Z203" s="198"/>
      <c r="AA203" s="198"/>
      <c r="AB203" s="198"/>
      <c r="AC203" s="198"/>
      <c r="AD203" s="198"/>
      <c r="AE203" s="198"/>
      <c r="AF203" s="198"/>
      <c r="AG203" s="198"/>
      <c r="AH203" s="198"/>
      <c r="AI203" s="198"/>
      <c r="AJ203" s="198"/>
      <c r="AK203" s="198"/>
      <c r="AL203" s="198"/>
      <c r="AM203" s="198"/>
      <c r="AN203" s="198"/>
      <c r="AO203" s="198"/>
      <c r="AP203" s="198"/>
      <c r="AQ203" s="198"/>
      <c r="AR203" s="198"/>
      <c r="AS203" s="198"/>
      <c r="AT203" s="198"/>
      <c r="AU203" s="198"/>
      <c r="AV203" s="198"/>
      <c r="AW203" s="198"/>
      <c r="AX203" s="198"/>
      <c r="AY203" s="198"/>
      <c r="AZ203" s="198"/>
      <c r="BA203" s="198"/>
      <c r="BB203" s="198"/>
      <c r="BC203" s="198"/>
      <c r="BD203" s="198"/>
      <c r="BE203" s="198"/>
      <c r="BF203" s="198"/>
      <c r="BG203" s="198"/>
      <c r="BH203" s="198"/>
      <c r="BI203" s="198"/>
      <c r="BJ203" s="198"/>
      <c r="BK203" s="198"/>
      <c r="BL203" s="198"/>
      <c r="BM203" s="198"/>
      <c r="BN203" s="198"/>
      <c r="BO203" s="198"/>
      <c r="BP203" s="198"/>
      <c r="BQ203" s="198"/>
      <c r="BR203" s="198"/>
      <c r="BS203" s="198"/>
      <c r="BT203" s="198"/>
      <c r="BU203" s="198"/>
      <c r="BV203" s="198"/>
      <c r="BW203" s="198"/>
      <c r="BX203" s="198"/>
      <c r="BY203" s="198"/>
      <c r="BZ203" s="198"/>
      <c r="CA203" s="198"/>
      <c r="CB203" s="198"/>
      <c r="CC203" s="198"/>
      <c r="CD203" s="198"/>
      <c r="CE203" s="198"/>
      <c r="CF203" s="198"/>
      <c r="CG203" s="198"/>
    </row>
    <row r="204" spans="1:85" s="199" customFormat="1" x14ac:dyDescent="0.25">
      <c r="A204" s="331"/>
      <c r="B204" s="332"/>
      <c r="C204" s="279"/>
      <c r="D204" s="333"/>
      <c r="E204" s="333"/>
      <c r="F204" s="333"/>
      <c r="G204" s="333"/>
      <c r="H204" s="333"/>
      <c r="I204" s="197"/>
      <c r="J204" s="197"/>
      <c r="K204" s="197"/>
      <c r="L204" s="197"/>
      <c r="M204" s="197"/>
      <c r="N204" s="197"/>
      <c r="O204" s="197"/>
      <c r="P204" s="197"/>
      <c r="Q204" s="197"/>
      <c r="R204" s="197"/>
      <c r="S204" s="197"/>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row>
    <row r="205" spans="1:85" s="199" customFormat="1" x14ac:dyDescent="0.25">
      <c r="A205" s="331"/>
      <c r="B205" s="332"/>
      <c r="C205" s="279"/>
      <c r="D205" s="333"/>
      <c r="E205" s="333"/>
      <c r="F205" s="333"/>
      <c r="G205" s="333"/>
      <c r="H205" s="333"/>
      <c r="I205" s="197"/>
      <c r="J205" s="197"/>
      <c r="K205" s="197"/>
      <c r="L205" s="197"/>
      <c r="M205" s="197"/>
      <c r="N205" s="197"/>
      <c r="O205" s="197"/>
      <c r="P205" s="197"/>
      <c r="Q205" s="197"/>
      <c r="R205" s="197"/>
      <c r="S205" s="197"/>
      <c r="T205" s="198"/>
      <c r="U205" s="198"/>
      <c r="V205" s="198"/>
      <c r="W205" s="198"/>
      <c r="X205" s="198"/>
      <c r="Y205" s="198"/>
      <c r="Z205" s="198"/>
      <c r="AA205" s="198"/>
      <c r="AB205" s="198"/>
      <c r="AC205" s="198"/>
      <c r="AD205" s="198"/>
      <c r="AE205" s="198"/>
      <c r="AF205" s="198"/>
      <c r="AG205" s="198"/>
      <c r="AH205" s="198"/>
      <c r="AI205" s="198"/>
      <c r="AJ205" s="198"/>
      <c r="AK205" s="198"/>
      <c r="AL205" s="198"/>
      <c r="AM205" s="198"/>
      <c r="AN205" s="198"/>
      <c r="AO205" s="198"/>
      <c r="AP205" s="198"/>
      <c r="AQ205" s="198"/>
      <c r="AR205" s="198"/>
      <c r="AS205" s="198"/>
      <c r="AT205" s="198"/>
      <c r="AU205" s="198"/>
      <c r="AV205" s="198"/>
      <c r="AW205" s="198"/>
      <c r="AX205" s="198"/>
      <c r="AY205" s="198"/>
      <c r="AZ205" s="198"/>
      <c r="BA205" s="198"/>
      <c r="BB205" s="198"/>
      <c r="BC205" s="198"/>
      <c r="BD205" s="198"/>
      <c r="BE205" s="198"/>
      <c r="BF205" s="198"/>
      <c r="BG205" s="198"/>
      <c r="BH205" s="198"/>
      <c r="BI205" s="198"/>
      <c r="BJ205" s="198"/>
      <c r="BK205" s="198"/>
      <c r="BL205" s="198"/>
      <c r="BM205" s="198"/>
      <c r="BN205" s="198"/>
      <c r="BO205" s="198"/>
      <c r="BP205" s="198"/>
      <c r="BQ205" s="198"/>
      <c r="BR205" s="198"/>
      <c r="BS205" s="198"/>
      <c r="BT205" s="198"/>
      <c r="BU205" s="198"/>
      <c r="BV205" s="198"/>
      <c r="BW205" s="198"/>
      <c r="BX205" s="198"/>
      <c r="BY205" s="198"/>
      <c r="BZ205" s="198"/>
      <c r="CA205" s="198"/>
      <c r="CB205" s="198"/>
      <c r="CC205" s="198"/>
      <c r="CD205" s="198"/>
      <c r="CE205" s="198"/>
      <c r="CF205" s="198"/>
      <c r="CG205" s="198"/>
    </row>
    <row r="206" spans="1:85" s="199" customFormat="1" x14ac:dyDescent="0.25">
      <c r="A206" s="331"/>
      <c r="B206" s="332"/>
      <c r="C206" s="279"/>
      <c r="D206" s="333"/>
      <c r="E206" s="333"/>
      <c r="F206" s="333"/>
      <c r="G206" s="333"/>
      <c r="H206" s="333"/>
      <c r="I206" s="197"/>
      <c r="J206" s="197"/>
      <c r="K206" s="197"/>
      <c r="L206" s="197"/>
      <c r="M206" s="197"/>
      <c r="N206" s="197"/>
      <c r="O206" s="197"/>
      <c r="P206" s="197"/>
      <c r="Q206" s="197"/>
      <c r="R206" s="197"/>
      <c r="S206" s="197"/>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c r="BE206" s="198"/>
      <c r="BF206" s="198"/>
      <c r="BG206" s="198"/>
      <c r="BH206" s="198"/>
      <c r="BI206" s="198"/>
      <c r="BJ206" s="198"/>
      <c r="BK206" s="198"/>
      <c r="BL206" s="198"/>
      <c r="BM206" s="198"/>
      <c r="BN206" s="198"/>
      <c r="BO206" s="198"/>
      <c r="BP206" s="198"/>
      <c r="BQ206" s="198"/>
      <c r="BR206" s="198"/>
      <c r="BS206" s="198"/>
      <c r="BT206" s="198"/>
      <c r="BU206" s="198"/>
      <c r="BV206" s="198"/>
      <c r="BW206" s="198"/>
      <c r="BX206" s="198"/>
      <c r="BY206" s="198"/>
      <c r="BZ206" s="198"/>
      <c r="CA206" s="198"/>
      <c r="CB206" s="198"/>
      <c r="CC206" s="198"/>
      <c r="CD206" s="198"/>
      <c r="CE206" s="198"/>
      <c r="CF206" s="198"/>
      <c r="CG206" s="198"/>
    </row>
    <row r="207" spans="1:85" s="199" customFormat="1" x14ac:dyDescent="0.25">
      <c r="A207" s="331"/>
      <c r="B207" s="332"/>
      <c r="C207" s="279"/>
      <c r="D207" s="333"/>
      <c r="E207" s="333"/>
      <c r="F207" s="333"/>
      <c r="G207" s="333"/>
      <c r="H207" s="333"/>
      <c r="I207" s="197"/>
      <c r="J207" s="197"/>
      <c r="K207" s="197"/>
      <c r="L207" s="197"/>
      <c r="M207" s="197"/>
      <c r="N207" s="197"/>
      <c r="O207" s="197"/>
      <c r="P207" s="197"/>
      <c r="Q207" s="197"/>
      <c r="R207" s="197"/>
      <c r="S207" s="197"/>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8"/>
      <c r="AS207" s="198"/>
      <c r="AT207" s="198"/>
      <c r="AU207" s="198"/>
      <c r="AV207" s="198"/>
      <c r="AW207" s="198"/>
      <c r="AX207" s="198"/>
      <c r="AY207" s="198"/>
      <c r="AZ207" s="198"/>
      <c r="BA207" s="198"/>
      <c r="BB207" s="198"/>
      <c r="BC207" s="198"/>
      <c r="BD207" s="198"/>
      <c r="BE207" s="198"/>
      <c r="BF207" s="198"/>
      <c r="BG207" s="198"/>
      <c r="BH207" s="198"/>
      <c r="BI207" s="198"/>
      <c r="BJ207" s="198"/>
      <c r="BK207" s="198"/>
      <c r="BL207" s="198"/>
      <c r="BM207" s="198"/>
      <c r="BN207" s="198"/>
      <c r="BO207" s="198"/>
      <c r="BP207" s="198"/>
      <c r="BQ207" s="198"/>
      <c r="BR207" s="198"/>
      <c r="BS207" s="198"/>
      <c r="BT207" s="198"/>
      <c r="BU207" s="198"/>
      <c r="BV207" s="198"/>
      <c r="BW207" s="198"/>
      <c r="BX207" s="198"/>
      <c r="BY207" s="198"/>
      <c r="BZ207" s="198"/>
      <c r="CA207" s="198"/>
      <c r="CB207" s="198"/>
      <c r="CC207" s="198"/>
      <c r="CD207" s="198"/>
      <c r="CE207" s="198"/>
      <c r="CF207" s="198"/>
      <c r="CG207" s="198"/>
    </row>
    <row r="208" spans="1:85" s="199" customFormat="1" x14ac:dyDescent="0.25">
      <c r="A208" s="331"/>
      <c r="B208" s="332"/>
      <c r="C208" s="279"/>
      <c r="D208" s="333"/>
      <c r="E208" s="333"/>
      <c r="F208" s="333"/>
      <c r="G208" s="333"/>
      <c r="H208" s="333"/>
      <c r="I208" s="197"/>
      <c r="J208" s="197"/>
      <c r="K208" s="197"/>
      <c r="L208" s="197"/>
      <c r="M208" s="197"/>
      <c r="N208" s="197"/>
      <c r="O208" s="197"/>
      <c r="P208" s="197"/>
      <c r="Q208" s="197"/>
      <c r="R208" s="197"/>
      <c r="S208" s="197"/>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c r="BE208" s="198"/>
      <c r="BF208" s="198"/>
      <c r="BG208" s="198"/>
      <c r="BH208" s="198"/>
      <c r="BI208" s="198"/>
      <c r="BJ208" s="198"/>
      <c r="BK208" s="198"/>
      <c r="BL208" s="198"/>
      <c r="BM208" s="198"/>
      <c r="BN208" s="198"/>
      <c r="BO208" s="198"/>
      <c r="BP208" s="198"/>
      <c r="BQ208" s="198"/>
      <c r="BR208" s="198"/>
      <c r="BS208" s="198"/>
      <c r="BT208" s="198"/>
      <c r="BU208" s="198"/>
      <c r="BV208" s="198"/>
      <c r="BW208" s="198"/>
      <c r="BX208" s="198"/>
      <c r="BY208" s="198"/>
      <c r="BZ208" s="198"/>
      <c r="CA208" s="198"/>
      <c r="CB208" s="198"/>
      <c r="CC208" s="198"/>
      <c r="CD208" s="198"/>
      <c r="CE208" s="198"/>
      <c r="CF208" s="198"/>
      <c r="CG208" s="198"/>
    </row>
    <row r="209" spans="1:85" s="199" customFormat="1" x14ac:dyDescent="0.25">
      <c r="A209" s="331"/>
      <c r="B209" s="332"/>
      <c r="C209" s="279"/>
      <c r="D209" s="333"/>
      <c r="E209" s="333"/>
      <c r="F209" s="333"/>
      <c r="G209" s="333"/>
      <c r="H209" s="333"/>
      <c r="I209" s="197"/>
      <c r="J209" s="197"/>
      <c r="K209" s="197"/>
      <c r="L209" s="197"/>
      <c r="M209" s="197"/>
      <c r="N209" s="197"/>
      <c r="O209" s="197"/>
      <c r="P209" s="197"/>
      <c r="Q209" s="197"/>
      <c r="R209" s="197"/>
      <c r="S209" s="197"/>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c r="CG209" s="198"/>
    </row>
    <row r="210" spans="1:85" s="199" customFormat="1" ht="15.6" x14ac:dyDescent="0.25">
      <c r="A210" s="360"/>
      <c r="B210" s="406"/>
      <c r="C210" s="442"/>
      <c r="D210" s="444"/>
      <c r="E210" s="484"/>
      <c r="F210" s="484"/>
      <c r="G210" s="484"/>
      <c r="H210" s="484"/>
      <c r="I210" s="197"/>
      <c r="J210" s="197"/>
      <c r="K210" s="197"/>
      <c r="L210" s="197"/>
      <c r="M210" s="197"/>
      <c r="N210" s="197"/>
      <c r="O210" s="197"/>
      <c r="P210" s="197"/>
      <c r="Q210" s="197"/>
      <c r="R210" s="197"/>
      <c r="S210" s="197"/>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row>
    <row r="211" spans="1:85" s="199" customFormat="1" ht="15.6" x14ac:dyDescent="0.3">
      <c r="A211" s="485"/>
      <c r="B211" s="239" t="s">
        <v>160</v>
      </c>
      <c r="C211" s="486"/>
      <c r="D211" s="487"/>
      <c r="E211" s="488"/>
      <c r="F211" s="488"/>
      <c r="G211" s="488"/>
      <c r="H211" s="488"/>
      <c r="I211" s="197"/>
      <c r="J211" s="197"/>
      <c r="K211" s="197"/>
      <c r="L211" s="197"/>
      <c r="M211" s="197"/>
      <c r="N211" s="197"/>
      <c r="O211" s="197"/>
      <c r="P211" s="197"/>
      <c r="Q211" s="197"/>
      <c r="R211" s="197"/>
      <c r="S211" s="197"/>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c r="BV211" s="198"/>
      <c r="BW211" s="198"/>
      <c r="BX211" s="198"/>
      <c r="BY211" s="198"/>
      <c r="BZ211" s="198"/>
      <c r="CA211" s="198"/>
      <c r="CB211" s="198"/>
      <c r="CC211" s="198"/>
      <c r="CD211" s="198"/>
      <c r="CE211" s="198"/>
      <c r="CF211" s="198"/>
      <c r="CG211" s="198"/>
    </row>
    <row r="212" spans="1:85" s="1" customFormat="1" ht="15.6" x14ac:dyDescent="0.3">
      <c r="A212" s="489" t="s">
        <v>296</v>
      </c>
      <c r="B212" s="490"/>
      <c r="C212" s="508" t="s">
        <v>297</v>
      </c>
      <c r="D212" s="491"/>
      <c r="E212" s="509"/>
      <c r="F212" s="509"/>
      <c r="G212" s="509"/>
      <c r="H212" s="509"/>
      <c r="I212" s="2"/>
      <c r="J212" s="2"/>
      <c r="K212" s="2"/>
      <c r="L212" s="2"/>
      <c r="M212" s="2"/>
      <c r="N212" s="2"/>
      <c r="O212" s="2"/>
      <c r="P212" s="2"/>
      <c r="Q212" s="2"/>
      <c r="R212" s="2"/>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row>
    <row r="213" spans="1:85" s="1" customFormat="1" ht="15.6" x14ac:dyDescent="0.25">
      <c r="A213" s="492" t="s">
        <v>284</v>
      </c>
      <c r="B213" s="510"/>
      <c r="C213" s="511"/>
      <c r="D213" s="512"/>
      <c r="E213" s="513"/>
      <c r="F213" s="513"/>
      <c r="G213" s="513"/>
      <c r="H213" s="514"/>
      <c r="I213" s="2"/>
      <c r="J213" s="2"/>
      <c r="K213" s="2"/>
      <c r="L213" s="2"/>
      <c r="M213" s="2"/>
      <c r="N213" s="2"/>
      <c r="O213" s="2"/>
      <c r="P213" s="2"/>
      <c r="Q213" s="2"/>
      <c r="R213" s="2"/>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row>
    <row r="214" spans="1:85" s="1" customFormat="1" ht="15.6" x14ac:dyDescent="0.25">
      <c r="A214" s="515"/>
      <c r="B214" s="516" t="s">
        <v>54</v>
      </c>
      <c r="C214" s="517"/>
      <c r="D214" s="518"/>
      <c r="E214" s="519"/>
      <c r="F214" s="519"/>
      <c r="G214" s="519"/>
      <c r="H214" s="520"/>
      <c r="I214" s="2"/>
      <c r="J214" s="2"/>
      <c r="K214" s="2"/>
      <c r="L214" s="2"/>
      <c r="M214" s="2"/>
      <c r="N214" s="2"/>
      <c r="O214" s="2"/>
      <c r="P214" s="2"/>
      <c r="Q214" s="2"/>
      <c r="R214" s="2"/>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row>
    <row r="215" spans="1:85" s="1" customFormat="1" ht="15.6" x14ac:dyDescent="0.25">
      <c r="A215" s="493"/>
      <c r="B215" s="521" t="s">
        <v>285</v>
      </c>
      <c r="C215" s="522"/>
      <c r="D215" s="523"/>
      <c r="E215" s="524"/>
      <c r="F215" s="524"/>
      <c r="G215" s="524"/>
      <c r="H215" s="525"/>
      <c r="I215" s="2"/>
      <c r="J215" s="2"/>
      <c r="K215" s="2"/>
      <c r="L215" s="2"/>
      <c r="M215" s="2"/>
      <c r="N215" s="2"/>
      <c r="O215" s="2"/>
      <c r="P215" s="2"/>
      <c r="Q215" s="2"/>
      <c r="R215" s="2"/>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row>
    <row r="216" spans="1:85" s="1" customFormat="1" x14ac:dyDescent="0.25">
      <c r="A216" s="526" t="s">
        <v>286</v>
      </c>
      <c r="B216" s="510"/>
      <c r="C216" s="527"/>
      <c r="D216" s="528"/>
      <c r="E216" s="529"/>
      <c r="F216" s="529"/>
      <c r="G216" s="529"/>
      <c r="H216" s="530"/>
      <c r="I216" s="2"/>
      <c r="J216" s="2"/>
      <c r="K216" s="2"/>
      <c r="L216" s="2"/>
      <c r="M216" s="2"/>
      <c r="N216" s="2"/>
      <c r="O216" s="2"/>
      <c r="P216" s="2"/>
      <c r="Q216" s="2"/>
      <c r="R216" s="2"/>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row>
    <row r="217" spans="1:85" s="1" customFormat="1" x14ac:dyDescent="0.25">
      <c r="A217" s="494" t="s">
        <v>298</v>
      </c>
      <c r="B217" s="516"/>
      <c r="C217" s="517"/>
      <c r="D217" s="531"/>
      <c r="E217" s="532"/>
      <c r="F217" s="532"/>
      <c r="G217" s="532"/>
      <c r="H217" s="533"/>
      <c r="I217" s="2"/>
      <c r="J217" s="2"/>
      <c r="K217" s="2"/>
      <c r="L217" s="2"/>
      <c r="M217" s="2"/>
      <c r="N217" s="2"/>
      <c r="O217" s="2"/>
      <c r="P217" s="2"/>
      <c r="Q217" s="2"/>
      <c r="R217" s="2"/>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row>
    <row r="218" spans="1:85" s="1" customFormat="1" x14ac:dyDescent="0.25">
      <c r="A218" s="494" t="s">
        <v>80</v>
      </c>
      <c r="B218" s="516"/>
      <c r="C218" s="517"/>
      <c r="D218" s="531"/>
      <c r="E218" s="532"/>
      <c r="F218" s="532"/>
      <c r="G218" s="532"/>
      <c r="H218" s="533"/>
      <c r="I218" s="2"/>
      <c r="J218" s="2"/>
      <c r="K218" s="2"/>
      <c r="L218" s="2"/>
      <c r="M218" s="2"/>
      <c r="N218" s="2"/>
      <c r="O218" s="2"/>
      <c r="P218" s="2"/>
      <c r="Q218" s="2"/>
      <c r="R218" s="2"/>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row>
    <row r="219" spans="1:85" s="1" customFormat="1" x14ac:dyDescent="0.25">
      <c r="A219" s="494" t="s">
        <v>2</v>
      </c>
      <c r="B219" s="516"/>
      <c r="C219" s="517"/>
      <c r="D219" s="531"/>
      <c r="E219" s="532"/>
      <c r="F219" s="532"/>
      <c r="G219" s="532"/>
      <c r="H219" s="533"/>
      <c r="I219" s="2"/>
      <c r="J219" s="2"/>
      <c r="K219" s="2"/>
      <c r="L219" s="2"/>
      <c r="M219" s="2"/>
      <c r="N219" s="2"/>
      <c r="O219" s="2"/>
      <c r="P219" s="2"/>
      <c r="Q219" s="2"/>
      <c r="R219" s="2"/>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row>
    <row r="220" spans="1:85" s="1" customFormat="1" x14ac:dyDescent="0.25">
      <c r="A220" s="534"/>
      <c r="B220" s="521"/>
      <c r="C220" s="522"/>
      <c r="D220" s="523"/>
      <c r="E220" s="524"/>
      <c r="F220" s="524"/>
      <c r="G220" s="524"/>
      <c r="H220" s="525"/>
      <c r="I220" s="2"/>
      <c r="J220" s="2"/>
      <c r="K220" s="2"/>
      <c r="L220" s="2"/>
      <c r="M220" s="2"/>
      <c r="N220" s="2"/>
      <c r="O220" s="2"/>
      <c r="P220" s="2"/>
      <c r="Q220" s="2"/>
      <c r="R220" s="2"/>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row>
    <row r="221" spans="1:85" s="1" customFormat="1" x14ac:dyDescent="0.25">
      <c r="A221" s="526" t="s">
        <v>287</v>
      </c>
      <c r="B221" s="510"/>
      <c r="C221" s="527"/>
      <c r="D221" s="528"/>
      <c r="E221" s="529"/>
      <c r="F221" s="529"/>
      <c r="G221" s="529"/>
      <c r="H221" s="530"/>
      <c r="I221" s="2"/>
      <c r="J221" s="2"/>
      <c r="K221" s="2"/>
      <c r="L221" s="2"/>
      <c r="M221" s="2"/>
      <c r="N221" s="2"/>
      <c r="O221" s="2"/>
      <c r="P221" s="2"/>
      <c r="Q221" s="2"/>
      <c r="R221" s="2"/>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row>
    <row r="222" spans="1:85" s="1" customFormat="1" x14ac:dyDescent="0.25">
      <c r="A222" s="494"/>
      <c r="B222" s="516" t="s">
        <v>288</v>
      </c>
      <c r="C222" s="517"/>
      <c r="D222" s="531"/>
      <c r="E222" s="532"/>
      <c r="F222" s="532"/>
      <c r="G222" s="532"/>
      <c r="H222" s="533"/>
      <c r="I222" s="2"/>
      <c r="J222" s="2"/>
      <c r="K222" s="2"/>
      <c r="L222" s="2"/>
      <c r="M222" s="2"/>
      <c r="N222" s="2"/>
      <c r="O222" s="2"/>
      <c r="P222" s="2"/>
      <c r="Q222" s="2"/>
      <c r="R222" s="2"/>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row>
    <row r="223" spans="1:85" s="1" customFormat="1" x14ac:dyDescent="0.25">
      <c r="A223" s="494"/>
      <c r="B223" s="516" t="s">
        <v>289</v>
      </c>
      <c r="C223" s="517"/>
      <c r="D223" s="531"/>
      <c r="E223" s="532"/>
      <c r="F223" s="532"/>
      <c r="G223" s="532"/>
      <c r="H223" s="533"/>
      <c r="I223" s="2"/>
      <c r="J223" s="2"/>
      <c r="K223" s="2"/>
      <c r="L223" s="2"/>
      <c r="M223" s="2"/>
      <c r="N223" s="2"/>
      <c r="O223" s="2"/>
      <c r="P223" s="2"/>
      <c r="Q223" s="2"/>
      <c r="R223" s="2"/>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row>
    <row r="224" spans="1:85" s="1" customFormat="1" x14ac:dyDescent="0.25">
      <c r="A224" s="494"/>
      <c r="B224" s="516" t="s">
        <v>290</v>
      </c>
      <c r="C224" s="517"/>
      <c r="D224" s="531"/>
      <c r="E224" s="532"/>
      <c r="F224" s="532"/>
      <c r="G224" s="532"/>
      <c r="H224" s="533"/>
      <c r="I224" s="2"/>
      <c r="J224" s="2"/>
      <c r="K224" s="2"/>
      <c r="L224" s="2"/>
      <c r="M224" s="2"/>
      <c r="N224" s="2"/>
      <c r="O224" s="2"/>
      <c r="P224" s="2"/>
      <c r="Q224" s="2"/>
      <c r="R224" s="2"/>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row>
    <row r="225" spans="1:84" s="1" customFormat="1" x14ac:dyDescent="0.25">
      <c r="A225" s="494"/>
      <c r="B225" s="516" t="s">
        <v>238</v>
      </c>
      <c r="C225" s="517"/>
      <c r="D225" s="531"/>
      <c r="E225" s="532"/>
      <c r="F225" s="532"/>
      <c r="G225" s="532"/>
      <c r="H225" s="533"/>
      <c r="I225" s="2"/>
      <c r="J225" s="2"/>
      <c r="K225" s="2"/>
      <c r="L225" s="2"/>
      <c r="M225" s="2"/>
      <c r="N225" s="2"/>
      <c r="O225" s="2"/>
      <c r="P225" s="2"/>
      <c r="Q225" s="2"/>
      <c r="R225" s="2"/>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row>
    <row r="226" spans="1:84" s="1" customFormat="1" x14ac:dyDescent="0.25">
      <c r="A226" s="534"/>
      <c r="B226" s="521" t="s">
        <v>103</v>
      </c>
      <c r="C226" s="522"/>
      <c r="D226" s="523"/>
      <c r="E226" s="524"/>
      <c r="F226" s="524"/>
      <c r="G226" s="524"/>
      <c r="H226" s="525"/>
      <c r="I226" s="2"/>
      <c r="J226" s="2"/>
      <c r="K226" s="2"/>
      <c r="L226" s="2"/>
      <c r="M226" s="2"/>
      <c r="N226" s="2"/>
      <c r="O226" s="2"/>
      <c r="P226" s="2"/>
      <c r="Q226" s="2"/>
      <c r="R226" s="2"/>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row>
    <row r="227" spans="1:84" s="1" customFormat="1" x14ac:dyDescent="0.25">
      <c r="A227" s="535" t="s">
        <v>125</v>
      </c>
      <c r="B227" s="490"/>
      <c r="C227" s="527"/>
      <c r="D227" s="536"/>
      <c r="E227" s="537"/>
      <c r="F227" s="537"/>
      <c r="G227" s="537"/>
      <c r="H227" s="538"/>
      <c r="I227" s="2"/>
      <c r="J227" s="2"/>
      <c r="K227" s="2"/>
      <c r="L227" s="2"/>
      <c r="M227" s="2"/>
      <c r="N227" s="2"/>
      <c r="O227" s="2"/>
      <c r="P227" s="2"/>
      <c r="Q227" s="2"/>
      <c r="R227" s="2"/>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row>
    <row r="228" spans="1:84" s="1" customFormat="1" x14ac:dyDescent="0.25">
      <c r="A228" s="539"/>
      <c r="B228" s="540" t="s">
        <v>126</v>
      </c>
      <c r="C228" s="541"/>
      <c r="D228" s="542"/>
      <c r="E228" s="543"/>
      <c r="F228" s="543"/>
      <c r="G228" s="543"/>
      <c r="H228" s="544"/>
      <c r="I228" s="2"/>
      <c r="J228" s="2"/>
      <c r="K228" s="2"/>
      <c r="L228" s="2"/>
      <c r="M228" s="2"/>
      <c r="N228" s="2"/>
      <c r="O228" s="2"/>
      <c r="P228" s="2"/>
      <c r="Q228" s="2"/>
      <c r="R228" s="2"/>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row>
    <row r="229" spans="1:84" s="1" customFormat="1" x14ac:dyDescent="0.25">
      <c r="A229" s="539"/>
      <c r="B229" s="540" t="s">
        <v>127</v>
      </c>
      <c r="C229" s="541"/>
      <c r="D229" s="542"/>
      <c r="E229" s="543"/>
      <c r="F229" s="543"/>
      <c r="G229" s="543"/>
      <c r="H229" s="544"/>
      <c r="I229" s="2"/>
      <c r="J229" s="2"/>
      <c r="K229" s="2"/>
      <c r="L229" s="2"/>
      <c r="M229" s="2"/>
      <c r="N229" s="2"/>
      <c r="O229" s="2"/>
      <c r="P229" s="2"/>
      <c r="Q229" s="2"/>
      <c r="R229" s="2"/>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row>
    <row r="230" spans="1:84" s="1" customFormat="1" x14ac:dyDescent="0.25">
      <c r="A230" s="539"/>
      <c r="B230" s="540" t="s">
        <v>128</v>
      </c>
      <c r="C230" s="541"/>
      <c r="D230" s="542"/>
      <c r="E230" s="543"/>
      <c r="F230" s="543"/>
      <c r="G230" s="543"/>
      <c r="H230" s="544"/>
      <c r="I230" s="2"/>
      <c r="J230" s="2"/>
      <c r="K230" s="2"/>
      <c r="L230" s="2"/>
      <c r="M230" s="2"/>
      <c r="N230" s="2"/>
      <c r="O230" s="2"/>
      <c r="P230" s="2"/>
      <c r="Q230" s="2"/>
      <c r="R230" s="2"/>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row>
    <row r="231" spans="1:84" s="1" customFormat="1" x14ac:dyDescent="0.25">
      <c r="A231" s="539"/>
      <c r="B231" s="540" t="s">
        <v>129</v>
      </c>
      <c r="C231" s="541"/>
      <c r="D231" s="542"/>
      <c r="E231" s="543"/>
      <c r="F231" s="543"/>
      <c r="G231" s="543"/>
      <c r="H231" s="544"/>
      <c r="I231" s="2"/>
      <c r="J231" s="2"/>
      <c r="K231" s="2"/>
      <c r="L231" s="2"/>
      <c r="M231" s="2"/>
      <c r="N231" s="2"/>
      <c r="O231" s="2"/>
      <c r="P231" s="2"/>
      <c r="Q231" s="2"/>
      <c r="R231" s="2"/>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row>
    <row r="232" spans="1:84" s="1" customFormat="1" x14ac:dyDescent="0.25">
      <c r="A232" s="534"/>
      <c r="B232" s="521" t="s">
        <v>291</v>
      </c>
      <c r="C232" s="522"/>
      <c r="D232" s="523"/>
      <c r="E232" s="524"/>
      <c r="F232" s="524"/>
      <c r="G232" s="524"/>
      <c r="H232" s="525"/>
      <c r="I232" s="2"/>
      <c r="J232" s="2"/>
      <c r="K232" s="2"/>
      <c r="L232" s="2"/>
      <c r="M232" s="2"/>
      <c r="N232" s="2"/>
      <c r="O232" s="2"/>
      <c r="P232" s="2"/>
      <c r="Q232" s="2"/>
      <c r="R232" s="2"/>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row>
    <row r="233" spans="1:84" s="1" customFormat="1" x14ac:dyDescent="0.25">
      <c r="A233" s="535" t="s">
        <v>292</v>
      </c>
      <c r="B233" s="490"/>
      <c r="C233" s="545"/>
      <c r="D233" s="536"/>
      <c r="E233" s="537"/>
      <c r="F233" s="537"/>
      <c r="G233" s="537"/>
      <c r="H233" s="538"/>
      <c r="I233" s="2"/>
      <c r="J233" s="2"/>
      <c r="K233" s="2"/>
      <c r="L233" s="2"/>
      <c r="M233" s="2"/>
      <c r="N233" s="2"/>
      <c r="O233" s="2"/>
      <c r="P233" s="2"/>
      <c r="Q233" s="2"/>
      <c r="R233" s="2"/>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row>
    <row r="234" spans="1:84" s="1" customFormat="1" x14ac:dyDescent="0.25">
      <c r="A234" s="539"/>
      <c r="B234" s="540" t="s">
        <v>130</v>
      </c>
      <c r="C234" s="541"/>
      <c r="D234" s="546"/>
      <c r="E234" s="547"/>
      <c r="F234" s="547"/>
      <c r="G234" s="547"/>
      <c r="H234" s="544"/>
      <c r="I234" s="2"/>
      <c r="J234" s="2"/>
      <c r="K234" s="2"/>
      <c r="L234" s="2"/>
      <c r="M234" s="2"/>
      <c r="N234" s="2"/>
      <c r="O234" s="2"/>
      <c r="P234" s="2"/>
      <c r="Q234" s="2"/>
      <c r="R234" s="2"/>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row>
    <row r="235" spans="1:84" s="1" customFormat="1" x14ac:dyDescent="0.25">
      <c r="A235" s="539"/>
      <c r="B235" s="540" t="s">
        <v>131</v>
      </c>
      <c r="C235" s="548"/>
      <c r="D235" s="542"/>
      <c r="E235" s="543"/>
      <c r="F235" s="543"/>
      <c r="G235" s="543"/>
      <c r="H235" s="544"/>
      <c r="I235" s="2"/>
      <c r="J235" s="2"/>
      <c r="K235" s="2"/>
      <c r="L235" s="2"/>
      <c r="M235" s="2"/>
      <c r="N235" s="2"/>
      <c r="O235" s="2"/>
      <c r="P235" s="2"/>
      <c r="Q235" s="2"/>
      <c r="R235" s="2"/>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row>
    <row r="236" spans="1:84" s="1" customFormat="1" x14ac:dyDescent="0.25">
      <c r="A236" s="539"/>
      <c r="B236" s="540" t="s">
        <v>132</v>
      </c>
      <c r="C236" s="541"/>
      <c r="D236" s="542"/>
      <c r="E236" s="543"/>
      <c r="F236" s="543"/>
      <c r="G236" s="543"/>
      <c r="H236" s="544"/>
      <c r="I236" s="2"/>
      <c r="J236" s="2"/>
      <c r="K236" s="2"/>
      <c r="L236" s="2"/>
      <c r="M236" s="2"/>
      <c r="N236" s="2"/>
      <c r="O236" s="2"/>
      <c r="P236" s="2"/>
      <c r="Q236" s="2"/>
      <c r="R236" s="2"/>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row>
    <row r="237" spans="1:84" s="1" customFormat="1" x14ac:dyDescent="0.25">
      <c r="A237" s="539"/>
      <c r="B237" s="540" t="s">
        <v>133</v>
      </c>
      <c r="C237" s="548"/>
      <c r="D237" s="546"/>
      <c r="E237" s="543"/>
      <c r="F237" s="543"/>
      <c r="G237" s="543"/>
      <c r="H237" s="544"/>
      <c r="I237" s="2"/>
      <c r="J237" s="2"/>
      <c r="K237" s="2"/>
      <c r="L237" s="2"/>
      <c r="M237" s="2"/>
      <c r="N237" s="2"/>
      <c r="O237" s="2"/>
      <c r="P237" s="2"/>
      <c r="Q237" s="2"/>
      <c r="R237" s="2"/>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row>
    <row r="238" spans="1:84" s="1" customFormat="1" x14ac:dyDescent="0.25">
      <c r="A238" s="494"/>
      <c r="B238" s="516" t="s">
        <v>293</v>
      </c>
      <c r="C238" s="517"/>
      <c r="D238" s="531"/>
      <c r="E238" s="532"/>
      <c r="F238" s="532"/>
      <c r="G238" s="532"/>
      <c r="H238" s="533"/>
      <c r="I238" s="2"/>
      <c r="J238" s="2"/>
      <c r="K238" s="2"/>
      <c r="L238" s="2"/>
      <c r="M238" s="2"/>
      <c r="N238" s="2"/>
      <c r="O238" s="2"/>
      <c r="P238" s="2"/>
      <c r="Q238" s="2"/>
      <c r="R238" s="2"/>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row>
    <row r="239" spans="1:84" s="1" customFormat="1" ht="15.6" thickBot="1" x14ac:dyDescent="0.3">
      <c r="A239" s="539"/>
      <c r="B239" s="540" t="s">
        <v>294</v>
      </c>
      <c r="C239" s="541"/>
      <c r="D239" s="542"/>
      <c r="E239" s="543"/>
      <c r="F239" s="543"/>
      <c r="G239" s="543"/>
      <c r="H239" s="544"/>
      <c r="I239" s="2"/>
      <c r="J239" s="2"/>
      <c r="K239" s="2"/>
      <c r="L239" s="2"/>
      <c r="M239" s="2"/>
      <c r="N239" s="2"/>
      <c r="O239" s="2"/>
      <c r="P239" s="2"/>
      <c r="Q239" s="2"/>
      <c r="R239" s="2"/>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row>
    <row r="240" spans="1:84" s="1" customFormat="1" ht="16.2" thickTop="1" x14ac:dyDescent="0.25">
      <c r="A240" s="495" t="s">
        <v>30</v>
      </c>
      <c r="B240" s="496"/>
      <c r="C240" s="497"/>
      <c r="D240" s="498"/>
      <c r="E240" s="499"/>
      <c r="F240" s="499"/>
      <c r="G240" s="499"/>
      <c r="H240" s="500"/>
      <c r="I240" s="2"/>
      <c r="J240" s="2"/>
      <c r="K240" s="2"/>
      <c r="L240" s="2"/>
      <c r="M240" s="2"/>
      <c r="N240" s="2"/>
      <c r="O240" s="2"/>
      <c r="P240" s="2"/>
      <c r="Q240" s="2"/>
      <c r="R240" s="2"/>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row>
    <row r="241" spans="1:85" s="1" customFormat="1" ht="16.2" thickBot="1" x14ac:dyDescent="0.3">
      <c r="A241" s="501" t="s">
        <v>184</v>
      </c>
      <c r="B241" s="502"/>
      <c r="C241" s="503"/>
      <c r="D241" s="504"/>
      <c r="E241" s="505"/>
      <c r="F241" s="505"/>
      <c r="G241" s="505"/>
      <c r="H241" s="506"/>
      <c r="I241" s="2"/>
      <c r="J241" s="2"/>
      <c r="K241" s="2"/>
      <c r="L241" s="2"/>
      <c r="M241" s="2"/>
      <c r="N241" s="2"/>
      <c r="O241" s="2"/>
      <c r="P241" s="2"/>
      <c r="Q241" s="2"/>
      <c r="R241" s="2"/>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row>
    <row r="242" spans="1:85" s="1" customFormat="1" ht="16.2" thickTop="1" x14ac:dyDescent="0.25">
      <c r="A242" s="549" t="s">
        <v>295</v>
      </c>
      <c r="B242" s="550"/>
      <c r="C242" s="507"/>
      <c r="D242" s="551"/>
      <c r="E242" s="552"/>
      <c r="F242" s="552"/>
      <c r="G242" s="552"/>
      <c r="H242" s="553"/>
      <c r="I242" s="2"/>
      <c r="J242" s="2"/>
      <c r="K242" s="2"/>
      <c r="L242" s="2"/>
      <c r="M242" s="2"/>
      <c r="N242" s="2"/>
      <c r="O242" s="2"/>
      <c r="P242" s="2"/>
      <c r="Q242" s="2"/>
      <c r="R242" s="2"/>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row>
    <row r="243" spans="1:85" s="1" customFormat="1" ht="15.6" x14ac:dyDescent="0.25">
      <c r="A243" s="515"/>
      <c r="B243" s="516"/>
      <c r="C243" s="554"/>
      <c r="D243" s="531"/>
      <c r="E243" s="532"/>
      <c r="F243" s="532"/>
      <c r="G243" s="532"/>
      <c r="H243" s="533"/>
      <c r="I243" s="2"/>
      <c r="J243" s="2"/>
      <c r="K243" s="2"/>
      <c r="L243" s="2"/>
      <c r="M243" s="2"/>
      <c r="N243" s="2"/>
      <c r="O243" s="2"/>
      <c r="P243" s="2"/>
      <c r="Q243" s="2"/>
      <c r="R243" s="2"/>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row>
    <row r="244" spans="1:85" s="1" customFormat="1" ht="15.6" x14ac:dyDescent="0.25">
      <c r="A244" s="515"/>
      <c r="B244" s="516"/>
      <c r="C244" s="554"/>
      <c r="D244" s="531"/>
      <c r="E244" s="532"/>
      <c r="F244" s="532"/>
      <c r="G244" s="532"/>
      <c r="H244" s="533"/>
      <c r="I244" s="2"/>
      <c r="J244" s="2"/>
      <c r="K244" s="2"/>
      <c r="L244" s="2"/>
      <c r="M244" s="2"/>
      <c r="N244" s="2"/>
      <c r="O244" s="2"/>
      <c r="P244" s="2"/>
      <c r="Q244" s="2"/>
      <c r="R244" s="2"/>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row>
    <row r="245" spans="1:85" s="1" customFormat="1" ht="15.6" x14ac:dyDescent="0.25">
      <c r="A245" s="515"/>
      <c r="B245" s="516"/>
      <c r="C245" s="554"/>
      <c r="D245" s="531"/>
      <c r="E245" s="532"/>
      <c r="F245" s="532"/>
      <c r="G245" s="532"/>
      <c r="H245" s="533"/>
      <c r="I245" s="2"/>
      <c r="J245" s="2"/>
      <c r="K245" s="2"/>
      <c r="L245" s="2"/>
      <c r="M245" s="2"/>
      <c r="N245" s="2"/>
      <c r="O245" s="2"/>
      <c r="P245" s="2"/>
      <c r="Q245" s="2"/>
      <c r="R245" s="2"/>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row>
    <row r="246" spans="1:85" s="1" customFormat="1" ht="15.6" x14ac:dyDescent="0.25">
      <c r="A246" s="493"/>
      <c r="B246" s="521"/>
      <c r="C246" s="555"/>
      <c r="D246" s="523"/>
      <c r="E246" s="524"/>
      <c r="F246" s="524"/>
      <c r="G246" s="524"/>
      <c r="H246" s="525"/>
      <c r="I246" s="2"/>
      <c r="J246" s="2"/>
      <c r="K246" s="2"/>
      <c r="L246" s="2"/>
      <c r="M246" s="2"/>
      <c r="N246" s="2"/>
      <c r="O246" s="2"/>
      <c r="P246" s="2"/>
      <c r="Q246" s="2"/>
      <c r="R246" s="2"/>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row>
    <row r="247" spans="1:85" s="1" customFormat="1" ht="15.6" x14ac:dyDescent="0.3">
      <c r="A247" s="556"/>
      <c r="B247" s="239" t="s">
        <v>160</v>
      </c>
      <c r="C247" s="557"/>
      <c r="D247" s="558"/>
      <c r="E247" s="558"/>
      <c r="F247" s="558"/>
      <c r="G247" s="558"/>
      <c r="H247" s="558"/>
      <c r="I247" s="2"/>
      <c r="J247" s="2"/>
      <c r="K247" s="2"/>
      <c r="L247" s="2"/>
      <c r="M247" s="2"/>
      <c r="N247" s="2"/>
      <c r="O247" s="2"/>
      <c r="P247" s="2"/>
      <c r="Q247" s="2"/>
      <c r="R247" s="2"/>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row>
    <row r="248" spans="1:85" s="199" customFormat="1" ht="15.6" x14ac:dyDescent="0.25">
      <c r="A248" s="559" t="s">
        <v>134</v>
      </c>
      <c r="B248" s="560"/>
      <c r="C248" s="561" t="s">
        <v>38</v>
      </c>
      <c r="D248" s="313"/>
      <c r="E248" s="561"/>
      <c r="F248" s="561"/>
      <c r="G248" s="561"/>
      <c r="H248" s="561"/>
      <c r="I248" s="197"/>
      <c r="J248" s="197"/>
      <c r="K248" s="197"/>
      <c r="L248" s="197"/>
      <c r="M248" s="197"/>
      <c r="N248" s="197"/>
      <c r="O248" s="197"/>
      <c r="P248" s="197"/>
      <c r="Q248" s="197"/>
      <c r="R248" s="197"/>
      <c r="S248" s="197"/>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row>
    <row r="249" spans="1:85" s="199" customFormat="1" x14ac:dyDescent="0.25">
      <c r="A249" s="315" t="s">
        <v>0</v>
      </c>
      <c r="B249" s="316"/>
      <c r="C249" s="562"/>
      <c r="D249" s="317"/>
      <c r="E249" s="563"/>
      <c r="F249" s="563"/>
      <c r="G249" s="563"/>
      <c r="H249" s="318"/>
      <c r="I249" s="197"/>
      <c r="J249" s="197"/>
      <c r="K249" s="197"/>
      <c r="L249" s="197"/>
      <c r="M249" s="197"/>
      <c r="N249" s="197"/>
      <c r="O249" s="197"/>
      <c r="P249" s="197"/>
      <c r="Q249" s="197"/>
      <c r="R249" s="197"/>
      <c r="S249" s="197"/>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c r="BD249" s="198"/>
      <c r="BE249" s="198"/>
      <c r="BF249" s="198"/>
      <c r="BG249" s="198"/>
      <c r="BH249" s="198"/>
      <c r="BI249" s="198"/>
      <c r="BJ249" s="198"/>
      <c r="BK249" s="198"/>
      <c r="BL249" s="198"/>
      <c r="BM249" s="198"/>
      <c r="BN249" s="198"/>
      <c r="BO249" s="198"/>
      <c r="BP249" s="198"/>
      <c r="BQ249" s="198"/>
      <c r="BR249" s="198"/>
      <c r="BS249" s="198"/>
      <c r="BT249" s="198"/>
      <c r="BU249" s="198"/>
      <c r="BV249" s="198"/>
      <c r="BW249" s="198"/>
      <c r="BX249" s="198"/>
      <c r="BY249" s="198"/>
      <c r="BZ249" s="198"/>
      <c r="CA249" s="198"/>
      <c r="CB249" s="198"/>
      <c r="CC249" s="198"/>
      <c r="CD249" s="198"/>
      <c r="CE249" s="198"/>
      <c r="CF249" s="198"/>
      <c r="CG249" s="198"/>
    </row>
    <row r="250" spans="1:85" s="199" customFormat="1" x14ac:dyDescent="0.25">
      <c r="A250" s="319" t="s">
        <v>1</v>
      </c>
      <c r="B250" s="206"/>
      <c r="C250" s="207"/>
      <c r="D250" s="320"/>
      <c r="E250" s="564"/>
      <c r="F250" s="564"/>
      <c r="G250" s="564"/>
      <c r="H250" s="321"/>
      <c r="I250" s="197"/>
      <c r="J250" s="197"/>
      <c r="K250" s="197"/>
      <c r="L250" s="197"/>
      <c r="M250" s="197"/>
      <c r="N250" s="197"/>
      <c r="O250" s="197"/>
      <c r="P250" s="197"/>
      <c r="Q250" s="197"/>
      <c r="R250" s="197"/>
      <c r="S250" s="197"/>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8"/>
      <c r="AY250" s="198"/>
      <c r="AZ250" s="198"/>
      <c r="BA250" s="198"/>
      <c r="BB250" s="198"/>
      <c r="BC250" s="198"/>
      <c r="BD250" s="198"/>
      <c r="BE250" s="198"/>
      <c r="BF250" s="198"/>
      <c r="BG250" s="198"/>
      <c r="BH250" s="198"/>
      <c r="BI250" s="198"/>
      <c r="BJ250" s="198"/>
      <c r="BK250" s="198"/>
      <c r="BL250" s="198"/>
      <c r="BM250" s="198"/>
      <c r="BN250" s="198"/>
      <c r="BO250" s="198"/>
      <c r="BP250" s="198"/>
      <c r="BQ250" s="198"/>
      <c r="BR250" s="198"/>
      <c r="BS250" s="198"/>
      <c r="BT250" s="198"/>
      <c r="BU250" s="198"/>
      <c r="BV250" s="198"/>
      <c r="BW250" s="198"/>
      <c r="BX250" s="198"/>
      <c r="BY250" s="198"/>
      <c r="BZ250" s="198"/>
      <c r="CA250" s="198"/>
      <c r="CB250" s="198"/>
      <c r="CC250" s="198"/>
      <c r="CD250" s="198"/>
      <c r="CE250" s="198"/>
      <c r="CF250" s="198"/>
      <c r="CG250" s="198"/>
    </row>
    <row r="251" spans="1:85" s="199" customFormat="1" x14ac:dyDescent="0.25">
      <c r="A251" s="319" t="s">
        <v>2</v>
      </c>
      <c r="B251" s="206"/>
      <c r="C251" s="207"/>
      <c r="D251" s="320"/>
      <c r="E251" s="564"/>
      <c r="F251" s="564"/>
      <c r="G251" s="564"/>
      <c r="H251" s="321"/>
      <c r="I251" s="197"/>
      <c r="J251" s="197"/>
      <c r="K251" s="197"/>
      <c r="L251" s="197"/>
      <c r="M251" s="197"/>
      <c r="N251" s="197"/>
      <c r="O251" s="197"/>
      <c r="P251" s="197"/>
      <c r="Q251" s="197"/>
      <c r="R251" s="197"/>
      <c r="S251" s="197"/>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8"/>
      <c r="AY251" s="198"/>
      <c r="AZ251" s="198"/>
      <c r="BA251" s="198"/>
      <c r="BB251" s="198"/>
      <c r="BC251" s="198"/>
      <c r="BD251" s="198"/>
      <c r="BE251" s="198"/>
      <c r="BF251" s="198"/>
      <c r="BG251" s="198"/>
      <c r="BH251" s="198"/>
      <c r="BI251" s="198"/>
      <c r="BJ251" s="198"/>
      <c r="BK251" s="198"/>
      <c r="BL251" s="198"/>
      <c r="BM251" s="198"/>
      <c r="BN251" s="198"/>
      <c r="BO251" s="198"/>
      <c r="BP251" s="198"/>
      <c r="BQ251" s="198"/>
      <c r="BR251" s="198"/>
      <c r="BS251" s="198"/>
      <c r="BT251" s="198"/>
      <c r="BU251" s="198"/>
      <c r="BV251" s="198"/>
      <c r="BW251" s="198"/>
      <c r="BX251" s="198"/>
      <c r="BY251" s="198"/>
      <c r="BZ251" s="198"/>
      <c r="CA251" s="198"/>
      <c r="CB251" s="198"/>
      <c r="CC251" s="198"/>
      <c r="CD251" s="198"/>
      <c r="CE251" s="198"/>
      <c r="CF251" s="198"/>
      <c r="CG251" s="198"/>
    </row>
    <row r="252" spans="1:85" s="199" customFormat="1" ht="15.6" x14ac:dyDescent="0.25">
      <c r="A252" s="322"/>
      <c r="B252" s="323"/>
      <c r="C252" s="565"/>
      <c r="D252" s="324"/>
      <c r="E252" s="566"/>
      <c r="F252" s="566"/>
      <c r="G252" s="566"/>
      <c r="H252" s="325"/>
      <c r="I252" s="197"/>
      <c r="J252" s="197"/>
      <c r="K252" s="197"/>
      <c r="L252" s="197"/>
      <c r="M252" s="197"/>
      <c r="N252" s="197"/>
      <c r="O252" s="197"/>
      <c r="P252" s="197"/>
      <c r="Q252" s="197"/>
      <c r="R252" s="197"/>
      <c r="S252" s="197"/>
      <c r="T252" s="198"/>
      <c r="U252" s="198"/>
      <c r="V252" s="198"/>
      <c r="W252" s="198"/>
      <c r="X252" s="198"/>
      <c r="Y252" s="198"/>
      <c r="Z252" s="198"/>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row>
    <row r="253" spans="1:85" s="199" customFormat="1" ht="15.6" x14ac:dyDescent="0.25">
      <c r="A253" s="567" t="s">
        <v>135</v>
      </c>
      <c r="B253" s="327"/>
      <c r="C253" s="568"/>
      <c r="D253" s="569"/>
      <c r="E253" s="570"/>
      <c r="F253" s="570"/>
      <c r="G253" s="570"/>
      <c r="H253" s="570"/>
      <c r="I253" s="197"/>
      <c r="J253" s="197"/>
      <c r="K253" s="197"/>
      <c r="L253" s="197"/>
      <c r="M253" s="197"/>
      <c r="N253" s="197"/>
      <c r="O253" s="197"/>
      <c r="P253" s="197"/>
      <c r="Q253" s="197"/>
      <c r="R253" s="197"/>
      <c r="S253" s="197"/>
      <c r="T253" s="198"/>
      <c r="U253" s="198"/>
      <c r="V253" s="198"/>
      <c r="W253" s="198"/>
      <c r="X253" s="198"/>
      <c r="Y253" s="198"/>
      <c r="Z253" s="198"/>
      <c r="AA253" s="198"/>
      <c r="AB253" s="198"/>
      <c r="AC253" s="198"/>
      <c r="AD253" s="198"/>
      <c r="AE253" s="198"/>
      <c r="AF253" s="198"/>
      <c r="AG253" s="198"/>
      <c r="AH253" s="198"/>
      <c r="AI253" s="198"/>
      <c r="AJ253" s="198"/>
      <c r="AK253" s="198"/>
      <c r="AL253" s="198"/>
      <c r="AM253" s="198"/>
      <c r="AN253" s="198"/>
      <c r="AO253" s="198"/>
      <c r="AP253" s="198"/>
      <c r="AQ253" s="198"/>
      <c r="AR253" s="198"/>
      <c r="AS253" s="198"/>
      <c r="AT253" s="198"/>
      <c r="AU253" s="198"/>
      <c r="AV253" s="198"/>
      <c r="AW253" s="198"/>
      <c r="AX253" s="198"/>
      <c r="AY253" s="198"/>
      <c r="AZ253" s="198"/>
      <c r="BA253" s="198"/>
      <c r="BB253" s="198"/>
      <c r="BC253" s="198"/>
      <c r="BD253" s="198"/>
      <c r="BE253" s="198"/>
      <c r="BF253" s="198"/>
      <c r="BG253" s="198"/>
      <c r="BH253" s="198"/>
      <c r="BI253" s="198"/>
      <c r="BJ253" s="198"/>
      <c r="BK253" s="198"/>
      <c r="BL253" s="198"/>
      <c r="BM253" s="198"/>
      <c r="BN253" s="198"/>
      <c r="BO253" s="198"/>
      <c r="BP253" s="198"/>
      <c r="BQ253" s="198"/>
      <c r="BR253" s="198"/>
      <c r="BS253" s="198"/>
      <c r="BT253" s="198"/>
      <c r="BU253" s="198"/>
      <c r="BV253" s="198"/>
      <c r="BW253" s="198"/>
      <c r="BX253" s="198"/>
      <c r="BY253" s="198"/>
      <c r="BZ253" s="198"/>
      <c r="CA253" s="198"/>
      <c r="CB253" s="198"/>
      <c r="CC253" s="198"/>
      <c r="CD253" s="198"/>
      <c r="CE253" s="198"/>
      <c r="CF253" s="198"/>
      <c r="CG253" s="198"/>
    </row>
    <row r="254" spans="1:85" s="199" customFormat="1" x14ac:dyDescent="0.25">
      <c r="A254" s="571"/>
      <c r="B254" s="332" t="s">
        <v>126</v>
      </c>
      <c r="C254" s="380"/>
      <c r="D254" s="381"/>
      <c r="E254" s="300"/>
      <c r="F254" s="300"/>
      <c r="G254" s="300"/>
      <c r="H254" s="300"/>
      <c r="I254" s="197"/>
      <c r="J254" s="197"/>
      <c r="K254" s="197"/>
      <c r="L254" s="197"/>
      <c r="M254" s="197"/>
      <c r="N254" s="197"/>
      <c r="O254" s="197"/>
      <c r="P254" s="197"/>
      <c r="Q254" s="197"/>
      <c r="R254" s="197"/>
      <c r="S254" s="197"/>
      <c r="T254" s="198"/>
      <c r="U254" s="198"/>
      <c r="V254" s="198"/>
      <c r="W254" s="198"/>
      <c r="X254" s="198"/>
      <c r="Y254" s="198"/>
      <c r="Z254" s="198"/>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c r="CC254" s="198"/>
      <c r="CD254" s="198"/>
      <c r="CE254" s="198"/>
      <c r="CF254" s="198"/>
      <c r="CG254" s="198"/>
    </row>
    <row r="255" spans="1:85" s="199" customFormat="1" x14ac:dyDescent="0.25">
      <c r="A255" s="571"/>
      <c r="B255" s="332" t="s">
        <v>127</v>
      </c>
      <c r="C255" s="380"/>
      <c r="D255" s="381"/>
      <c r="E255" s="300"/>
      <c r="F255" s="300"/>
      <c r="G255" s="300"/>
      <c r="H255" s="300"/>
      <c r="I255" s="197"/>
      <c r="J255" s="197"/>
      <c r="K255" s="197"/>
      <c r="L255" s="197"/>
      <c r="M255" s="197"/>
      <c r="N255" s="197"/>
      <c r="O255" s="197"/>
      <c r="P255" s="197"/>
      <c r="Q255" s="197"/>
      <c r="R255" s="197"/>
      <c r="S255" s="197"/>
      <c r="T255" s="198"/>
      <c r="U255" s="198"/>
      <c r="V255" s="198"/>
      <c r="W255" s="198"/>
      <c r="X255" s="198"/>
      <c r="Y255" s="198"/>
      <c r="Z255" s="198"/>
      <c r="AA255" s="198"/>
      <c r="AB255" s="198"/>
      <c r="AC255" s="198"/>
      <c r="AD255" s="198"/>
      <c r="AE255" s="198"/>
      <c r="AF255" s="198"/>
      <c r="AG255" s="198"/>
      <c r="AH255" s="198"/>
      <c r="AI255" s="198"/>
      <c r="AJ255" s="198"/>
      <c r="AK255" s="198"/>
      <c r="AL255" s="198"/>
      <c r="AM255" s="198"/>
      <c r="AN255" s="198"/>
      <c r="AO255" s="198"/>
      <c r="AP255" s="198"/>
      <c r="AQ255" s="198"/>
      <c r="AR255" s="198"/>
      <c r="AS255" s="198"/>
      <c r="AT255" s="198"/>
      <c r="AU255" s="198"/>
      <c r="AV255" s="198"/>
      <c r="AW255" s="198"/>
      <c r="AX255" s="198"/>
      <c r="AY255" s="198"/>
      <c r="AZ255" s="198"/>
      <c r="BA255" s="198"/>
      <c r="BB255" s="198"/>
      <c r="BC255" s="198"/>
      <c r="BD255" s="198"/>
      <c r="BE255" s="198"/>
      <c r="BF255" s="198"/>
      <c r="BG255" s="198"/>
      <c r="BH255" s="198"/>
      <c r="BI255" s="198"/>
      <c r="BJ255" s="198"/>
      <c r="BK255" s="198"/>
      <c r="BL255" s="198"/>
      <c r="BM255" s="198"/>
      <c r="BN255" s="198"/>
      <c r="BO255" s="198"/>
      <c r="BP255" s="198"/>
      <c r="BQ255" s="198"/>
      <c r="BR255" s="198"/>
      <c r="BS255" s="198"/>
      <c r="BT255" s="198"/>
      <c r="BU255" s="198"/>
      <c r="BV255" s="198"/>
      <c r="BW255" s="198"/>
      <c r="BX255" s="198"/>
      <c r="BY255" s="198"/>
      <c r="BZ255" s="198"/>
      <c r="CA255" s="198"/>
      <c r="CB255" s="198"/>
      <c r="CC255" s="198"/>
      <c r="CD255" s="198"/>
      <c r="CE255" s="198"/>
      <c r="CF255" s="198"/>
      <c r="CG255" s="198"/>
    </row>
    <row r="256" spans="1:85" s="199" customFormat="1" x14ac:dyDescent="0.25">
      <c r="A256" s="571"/>
      <c r="B256" s="332" t="s">
        <v>142</v>
      </c>
      <c r="C256" s="380"/>
      <c r="D256" s="381"/>
      <c r="E256" s="300"/>
      <c r="F256" s="300"/>
      <c r="G256" s="300"/>
      <c r="H256" s="300"/>
      <c r="I256" s="197"/>
      <c r="J256" s="197"/>
      <c r="K256" s="197"/>
      <c r="L256" s="197"/>
      <c r="M256" s="197"/>
      <c r="N256" s="197"/>
      <c r="O256" s="197"/>
      <c r="P256" s="197"/>
      <c r="Q256" s="197"/>
      <c r="R256" s="197"/>
      <c r="S256" s="197"/>
      <c r="T256" s="198"/>
      <c r="U256" s="198"/>
      <c r="V256" s="198"/>
      <c r="W256" s="198"/>
      <c r="X256" s="198"/>
      <c r="Y256" s="198"/>
      <c r="Z256" s="198"/>
      <c r="AA256" s="198"/>
      <c r="AB256" s="198"/>
      <c r="AC256" s="198"/>
      <c r="AD256" s="198"/>
      <c r="AE256" s="198"/>
      <c r="AF256" s="198"/>
      <c r="AG256" s="198"/>
      <c r="AH256" s="198"/>
      <c r="AI256" s="198"/>
      <c r="AJ256" s="198"/>
      <c r="AK256" s="198"/>
      <c r="AL256" s="198"/>
      <c r="AM256" s="198"/>
      <c r="AN256" s="198"/>
      <c r="AO256" s="198"/>
      <c r="AP256" s="198"/>
      <c r="AQ256" s="198"/>
      <c r="AR256" s="198"/>
      <c r="AS256" s="198"/>
      <c r="AT256" s="198"/>
      <c r="AU256" s="198"/>
      <c r="AV256" s="198"/>
      <c r="AW256" s="198"/>
      <c r="AX256" s="198"/>
      <c r="AY256" s="198"/>
      <c r="AZ256" s="198"/>
      <c r="BA256" s="198"/>
      <c r="BB256" s="198"/>
      <c r="BC256" s="198"/>
      <c r="BD256" s="198"/>
      <c r="BE256" s="198"/>
      <c r="BF256" s="198"/>
      <c r="BG256" s="198"/>
      <c r="BH256" s="198"/>
      <c r="BI256" s="198"/>
      <c r="BJ256" s="198"/>
      <c r="BK256" s="198"/>
      <c r="BL256" s="198"/>
      <c r="BM256" s="198"/>
      <c r="BN256" s="198"/>
      <c r="BO256" s="198"/>
      <c r="BP256" s="198"/>
      <c r="BQ256" s="198"/>
      <c r="BR256" s="198"/>
      <c r="BS256" s="198"/>
      <c r="BT256" s="198"/>
      <c r="BU256" s="198"/>
      <c r="BV256" s="198"/>
      <c r="BW256" s="198"/>
      <c r="BX256" s="198"/>
      <c r="BY256" s="198"/>
      <c r="BZ256" s="198"/>
      <c r="CA256" s="198"/>
      <c r="CB256" s="198"/>
      <c r="CC256" s="198"/>
      <c r="CD256" s="198"/>
      <c r="CE256" s="198"/>
      <c r="CF256" s="198"/>
      <c r="CG256" s="198"/>
    </row>
    <row r="257" spans="1:85" s="199" customFormat="1" x14ac:dyDescent="0.25">
      <c r="A257" s="571"/>
      <c r="B257" s="332" t="s">
        <v>128</v>
      </c>
      <c r="C257" s="380"/>
      <c r="D257" s="381"/>
      <c r="E257" s="300"/>
      <c r="F257" s="300"/>
      <c r="G257" s="300"/>
      <c r="H257" s="300"/>
      <c r="I257" s="197"/>
      <c r="J257" s="197"/>
      <c r="K257" s="197"/>
      <c r="L257" s="197"/>
      <c r="M257" s="197"/>
      <c r="N257" s="197"/>
      <c r="O257" s="197"/>
      <c r="P257" s="197"/>
      <c r="Q257" s="197"/>
      <c r="R257" s="197"/>
      <c r="S257" s="197"/>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c r="BE257" s="198"/>
      <c r="BF257" s="198"/>
      <c r="BG257" s="198"/>
      <c r="BH257" s="198"/>
      <c r="BI257" s="198"/>
      <c r="BJ257" s="198"/>
      <c r="BK257" s="198"/>
      <c r="BL257" s="198"/>
      <c r="BM257" s="198"/>
      <c r="BN257" s="198"/>
      <c r="BO257" s="198"/>
      <c r="BP257" s="198"/>
      <c r="BQ257" s="198"/>
      <c r="BR257" s="198"/>
      <c r="BS257" s="198"/>
      <c r="BT257" s="198"/>
      <c r="BU257" s="198"/>
      <c r="BV257" s="198"/>
      <c r="BW257" s="198"/>
      <c r="BX257" s="198"/>
      <c r="BY257" s="198"/>
      <c r="BZ257" s="198"/>
      <c r="CA257" s="198"/>
      <c r="CB257" s="198"/>
      <c r="CC257" s="198"/>
      <c r="CD257" s="198"/>
      <c r="CE257" s="198"/>
      <c r="CF257" s="198"/>
      <c r="CG257" s="198"/>
    </row>
    <row r="258" spans="1:85" s="199" customFormat="1" x14ac:dyDescent="0.25">
      <c r="A258" s="571"/>
      <c r="B258" s="332" t="s">
        <v>143</v>
      </c>
      <c r="C258" s="380"/>
      <c r="D258" s="381"/>
      <c r="E258" s="300"/>
      <c r="F258" s="280"/>
      <c r="G258" s="280"/>
      <c r="H258" s="280"/>
      <c r="I258" s="197"/>
      <c r="J258" s="197"/>
      <c r="K258" s="197"/>
      <c r="L258" s="197"/>
      <c r="M258" s="197"/>
      <c r="N258" s="197"/>
      <c r="O258" s="197"/>
      <c r="P258" s="197"/>
      <c r="Q258" s="197"/>
      <c r="R258" s="197"/>
      <c r="S258" s="197"/>
      <c r="T258" s="198"/>
      <c r="U258" s="198"/>
      <c r="V258" s="198"/>
      <c r="W258" s="198"/>
      <c r="X258" s="198"/>
      <c r="Y258" s="198"/>
      <c r="Z258" s="198"/>
      <c r="AA258" s="198"/>
      <c r="AB258" s="198"/>
      <c r="AC258" s="198"/>
      <c r="AD258" s="198"/>
      <c r="AE258" s="198"/>
      <c r="AF258" s="198"/>
      <c r="AG258" s="198"/>
      <c r="AH258" s="198"/>
      <c r="AI258" s="198"/>
      <c r="AJ258" s="198"/>
      <c r="AK258" s="198"/>
      <c r="AL258" s="198"/>
      <c r="AM258" s="198"/>
      <c r="AN258" s="198"/>
      <c r="AO258" s="198"/>
      <c r="AP258" s="198"/>
      <c r="AQ258" s="198"/>
      <c r="AR258" s="198"/>
      <c r="AS258" s="198"/>
      <c r="AT258" s="198"/>
      <c r="AU258" s="198"/>
      <c r="AV258" s="198"/>
      <c r="AW258" s="198"/>
      <c r="AX258" s="198"/>
      <c r="AY258" s="198"/>
      <c r="AZ258" s="198"/>
      <c r="BA258" s="198"/>
      <c r="BB258" s="198"/>
      <c r="BC258" s="198"/>
      <c r="BD258" s="198"/>
      <c r="BE258" s="198"/>
      <c r="BF258" s="198"/>
      <c r="BG258" s="198"/>
      <c r="BH258" s="198"/>
      <c r="BI258" s="198"/>
      <c r="BJ258" s="198"/>
      <c r="BK258" s="198"/>
      <c r="BL258" s="198"/>
      <c r="BM258" s="198"/>
      <c r="BN258" s="198"/>
      <c r="BO258" s="198"/>
      <c r="BP258" s="198"/>
      <c r="BQ258" s="198"/>
      <c r="BR258" s="198"/>
      <c r="BS258" s="198"/>
      <c r="BT258" s="198"/>
      <c r="BU258" s="198"/>
      <c r="BV258" s="198"/>
      <c r="BW258" s="198"/>
      <c r="BX258" s="198"/>
      <c r="BY258" s="198"/>
      <c r="BZ258" s="198"/>
      <c r="CA258" s="198"/>
      <c r="CB258" s="198"/>
      <c r="CC258" s="198"/>
      <c r="CD258" s="198"/>
      <c r="CE258" s="198"/>
      <c r="CF258" s="198"/>
      <c r="CG258" s="198"/>
    </row>
    <row r="259" spans="1:85" s="199" customFormat="1" x14ac:dyDescent="0.25">
      <c r="A259" s="571"/>
      <c r="B259" s="262" t="s">
        <v>129</v>
      </c>
      <c r="C259" s="279"/>
      <c r="D259" s="381"/>
      <c r="E259" s="300"/>
      <c r="F259" s="280"/>
      <c r="G259" s="280"/>
      <c r="H259" s="280"/>
      <c r="I259" s="197"/>
      <c r="J259" s="197"/>
      <c r="K259" s="197"/>
      <c r="L259" s="197"/>
      <c r="M259" s="197"/>
      <c r="N259" s="197"/>
      <c r="O259" s="197"/>
      <c r="P259" s="197"/>
      <c r="Q259" s="197"/>
      <c r="R259" s="197"/>
      <c r="S259" s="197"/>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c r="BD259" s="198"/>
      <c r="BE259" s="198"/>
      <c r="BF259" s="198"/>
      <c r="BG259" s="198"/>
      <c r="BH259" s="198"/>
      <c r="BI259" s="198"/>
      <c r="BJ259" s="198"/>
      <c r="BK259" s="198"/>
      <c r="BL259" s="198"/>
      <c r="BM259" s="198"/>
      <c r="BN259" s="198"/>
      <c r="BO259" s="198"/>
      <c r="BP259" s="198"/>
      <c r="BQ259" s="198"/>
      <c r="BR259" s="198"/>
      <c r="BS259" s="198"/>
      <c r="BT259" s="198"/>
      <c r="BU259" s="198"/>
      <c r="BV259" s="198"/>
      <c r="BW259" s="198"/>
      <c r="BX259" s="198"/>
      <c r="BY259" s="198"/>
      <c r="BZ259" s="198"/>
      <c r="CA259" s="198"/>
      <c r="CB259" s="198"/>
      <c r="CC259" s="198"/>
      <c r="CD259" s="198"/>
      <c r="CE259" s="198"/>
      <c r="CF259" s="198"/>
      <c r="CG259" s="198"/>
    </row>
    <row r="260" spans="1:85" s="199" customFormat="1" x14ac:dyDescent="0.25">
      <c r="A260" s="571"/>
      <c r="B260" s="332"/>
      <c r="C260" s="380"/>
      <c r="D260" s="381"/>
      <c r="E260" s="300"/>
      <c r="F260" s="300"/>
      <c r="G260" s="300"/>
      <c r="H260" s="300"/>
      <c r="I260" s="197"/>
      <c r="J260" s="197"/>
      <c r="K260" s="197"/>
      <c r="L260" s="197"/>
      <c r="M260" s="197"/>
      <c r="N260" s="197"/>
      <c r="O260" s="197"/>
      <c r="P260" s="197"/>
      <c r="Q260" s="197"/>
      <c r="R260" s="197"/>
      <c r="S260" s="197"/>
      <c r="T260" s="198"/>
      <c r="U260" s="198"/>
      <c r="V260" s="198"/>
      <c r="W260" s="198"/>
      <c r="X260" s="198"/>
      <c r="Y260" s="198"/>
      <c r="Z260" s="198"/>
      <c r="AA260" s="198"/>
      <c r="AB260" s="198"/>
      <c r="AC260" s="198"/>
      <c r="AD260" s="198"/>
      <c r="AE260" s="198"/>
      <c r="AF260" s="198"/>
      <c r="AG260" s="198"/>
      <c r="AH260" s="198"/>
      <c r="AI260" s="198"/>
      <c r="AJ260" s="198"/>
      <c r="AK260" s="198"/>
      <c r="AL260" s="198"/>
      <c r="AM260" s="198"/>
      <c r="AN260" s="198"/>
      <c r="AO260" s="198"/>
      <c r="AP260" s="198"/>
      <c r="AQ260" s="198"/>
      <c r="AR260" s="198"/>
      <c r="AS260" s="198"/>
      <c r="AT260" s="198"/>
      <c r="AU260" s="198"/>
      <c r="AV260" s="198"/>
      <c r="AW260" s="198"/>
      <c r="AX260" s="198"/>
      <c r="AY260" s="198"/>
      <c r="AZ260" s="198"/>
      <c r="BA260" s="198"/>
      <c r="BB260" s="198"/>
      <c r="BC260" s="198"/>
      <c r="BD260" s="198"/>
      <c r="BE260" s="198"/>
      <c r="BF260" s="198"/>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198"/>
      <c r="CF260" s="198"/>
      <c r="CG260" s="198"/>
    </row>
    <row r="261" spans="1:85" s="199" customFormat="1" x14ac:dyDescent="0.25">
      <c r="A261" s="571"/>
      <c r="B261" s="377" t="s">
        <v>130</v>
      </c>
      <c r="C261" s="279"/>
      <c r="D261" s="381"/>
      <c r="E261" s="300"/>
      <c r="F261" s="300"/>
      <c r="G261" s="300"/>
      <c r="H261" s="300"/>
      <c r="I261" s="197"/>
      <c r="J261" s="197"/>
      <c r="K261" s="197"/>
      <c r="L261" s="197"/>
      <c r="M261" s="197"/>
      <c r="N261" s="197"/>
      <c r="O261" s="197"/>
      <c r="P261" s="197"/>
      <c r="Q261" s="197"/>
      <c r="R261" s="197"/>
      <c r="S261" s="197"/>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c r="BD261" s="198"/>
      <c r="BE261" s="198"/>
      <c r="BF261" s="198"/>
      <c r="BG261" s="198"/>
      <c r="BH261" s="198"/>
      <c r="BI261" s="198"/>
      <c r="BJ261" s="198"/>
      <c r="BK261" s="198"/>
      <c r="BL261" s="198"/>
      <c r="BM261" s="198"/>
      <c r="BN261" s="198"/>
      <c r="BO261" s="198"/>
      <c r="BP261" s="198"/>
      <c r="BQ261" s="198"/>
      <c r="BR261" s="198"/>
      <c r="BS261" s="198"/>
      <c r="BT261" s="198"/>
      <c r="BU261" s="198"/>
      <c r="BV261" s="198"/>
      <c r="BW261" s="198"/>
      <c r="BX261" s="198"/>
      <c r="BY261" s="198"/>
      <c r="BZ261" s="198"/>
      <c r="CA261" s="198"/>
      <c r="CB261" s="198"/>
      <c r="CC261" s="198"/>
      <c r="CD261" s="198"/>
      <c r="CE261" s="198"/>
      <c r="CF261" s="198"/>
      <c r="CG261" s="198"/>
    </row>
    <row r="262" spans="1:85" s="199" customFormat="1" x14ac:dyDescent="0.25">
      <c r="A262" s="571"/>
      <c r="B262" s="332" t="s">
        <v>131</v>
      </c>
      <c r="C262" s="380"/>
      <c r="D262" s="381"/>
      <c r="E262" s="300"/>
      <c r="F262" s="300"/>
      <c r="G262" s="300"/>
      <c r="H262" s="300"/>
      <c r="I262" s="197"/>
      <c r="J262" s="197"/>
      <c r="K262" s="197"/>
      <c r="L262" s="197"/>
      <c r="M262" s="197"/>
      <c r="N262" s="197"/>
      <c r="O262" s="197"/>
      <c r="P262" s="197"/>
      <c r="Q262" s="197"/>
      <c r="R262" s="197"/>
      <c r="S262" s="197"/>
      <c r="T262" s="198"/>
      <c r="U262" s="198"/>
      <c r="V262" s="198"/>
      <c r="W262" s="198"/>
      <c r="X262" s="198"/>
      <c r="Y262" s="198"/>
      <c r="Z262" s="198"/>
      <c r="AA262" s="198"/>
      <c r="AB262" s="198"/>
      <c r="AC262" s="198"/>
      <c r="AD262" s="198"/>
      <c r="AE262" s="198"/>
      <c r="AF262" s="198"/>
      <c r="AG262" s="198"/>
      <c r="AH262" s="198"/>
      <c r="AI262" s="198"/>
      <c r="AJ262" s="198"/>
      <c r="AK262" s="198"/>
      <c r="AL262" s="198"/>
      <c r="AM262" s="198"/>
      <c r="AN262" s="198"/>
      <c r="AO262" s="198"/>
      <c r="AP262" s="198"/>
      <c r="AQ262" s="198"/>
      <c r="AR262" s="198"/>
      <c r="AS262" s="198"/>
      <c r="AT262" s="198"/>
      <c r="AU262" s="198"/>
      <c r="AV262" s="198"/>
      <c r="AW262" s="198"/>
      <c r="AX262" s="198"/>
      <c r="AY262" s="198"/>
      <c r="AZ262" s="198"/>
      <c r="BA262" s="198"/>
      <c r="BB262" s="198"/>
      <c r="BC262" s="198"/>
      <c r="BD262" s="198"/>
      <c r="BE262" s="198"/>
      <c r="BF262" s="198"/>
      <c r="BG262" s="198"/>
      <c r="BH262" s="198"/>
      <c r="BI262" s="198"/>
      <c r="BJ262" s="198"/>
      <c r="BK262" s="198"/>
      <c r="BL262" s="198"/>
      <c r="BM262" s="198"/>
      <c r="BN262" s="198"/>
      <c r="BO262" s="198"/>
      <c r="BP262" s="198"/>
      <c r="BQ262" s="198"/>
      <c r="BR262" s="198"/>
      <c r="BS262" s="198"/>
      <c r="BT262" s="198"/>
      <c r="BU262" s="198"/>
      <c r="BV262" s="198"/>
      <c r="BW262" s="198"/>
      <c r="BX262" s="198"/>
      <c r="BY262" s="198"/>
      <c r="BZ262" s="198"/>
      <c r="CA262" s="198"/>
      <c r="CB262" s="198"/>
      <c r="CC262" s="198"/>
      <c r="CD262" s="198"/>
      <c r="CE262" s="198"/>
      <c r="CF262" s="198"/>
      <c r="CG262" s="198"/>
    </row>
    <row r="263" spans="1:85" s="199" customFormat="1" x14ac:dyDescent="0.25">
      <c r="A263" s="571"/>
      <c r="B263" s="332" t="s">
        <v>132</v>
      </c>
      <c r="C263" s="380"/>
      <c r="D263" s="381"/>
      <c r="E263" s="300"/>
      <c r="F263" s="300"/>
      <c r="G263" s="300"/>
      <c r="H263" s="300"/>
      <c r="I263" s="197"/>
      <c r="J263" s="197"/>
      <c r="K263" s="197"/>
      <c r="L263" s="197"/>
      <c r="M263" s="197"/>
      <c r="N263" s="197"/>
      <c r="O263" s="197"/>
      <c r="P263" s="197"/>
      <c r="Q263" s="197"/>
      <c r="R263" s="197"/>
      <c r="S263" s="197"/>
      <c r="T263" s="198"/>
      <c r="U263" s="198"/>
      <c r="V263" s="198"/>
      <c r="W263" s="198"/>
      <c r="X263" s="198"/>
      <c r="Y263" s="198"/>
      <c r="Z263" s="198"/>
      <c r="AA263" s="198"/>
      <c r="AB263" s="198"/>
      <c r="AC263" s="198"/>
      <c r="AD263" s="198"/>
      <c r="AE263" s="198"/>
      <c r="AF263" s="198"/>
      <c r="AG263" s="198"/>
      <c r="AH263" s="198"/>
      <c r="AI263" s="198"/>
      <c r="AJ263" s="198"/>
      <c r="AK263" s="198"/>
      <c r="AL263" s="198"/>
      <c r="AM263" s="198"/>
      <c r="AN263" s="198"/>
      <c r="AO263" s="198"/>
      <c r="AP263" s="198"/>
      <c r="AQ263" s="198"/>
      <c r="AR263" s="198"/>
      <c r="AS263" s="198"/>
      <c r="AT263" s="198"/>
      <c r="AU263" s="198"/>
      <c r="AV263" s="198"/>
      <c r="AW263" s="198"/>
      <c r="AX263" s="198"/>
      <c r="AY263" s="198"/>
      <c r="AZ263" s="198"/>
      <c r="BA263" s="198"/>
      <c r="BB263" s="198"/>
      <c r="BC263" s="198"/>
      <c r="BD263" s="198"/>
      <c r="BE263" s="198"/>
      <c r="BF263" s="198"/>
      <c r="BG263" s="198"/>
      <c r="BH263" s="198"/>
      <c r="BI263" s="198"/>
      <c r="BJ263" s="198"/>
      <c r="BK263" s="198"/>
      <c r="BL263" s="198"/>
      <c r="BM263" s="198"/>
      <c r="BN263" s="198"/>
      <c r="BO263" s="198"/>
      <c r="BP263" s="198"/>
      <c r="BQ263" s="198"/>
      <c r="BR263" s="198"/>
      <c r="BS263" s="198"/>
      <c r="BT263" s="198"/>
      <c r="BU263" s="198"/>
      <c r="BV263" s="198"/>
      <c r="BW263" s="198"/>
      <c r="BX263" s="198"/>
      <c r="BY263" s="198"/>
      <c r="BZ263" s="198"/>
      <c r="CA263" s="198"/>
      <c r="CB263" s="198"/>
      <c r="CC263" s="198"/>
      <c r="CD263" s="198"/>
      <c r="CE263" s="198"/>
      <c r="CF263" s="198"/>
      <c r="CG263" s="198"/>
    </row>
    <row r="264" spans="1:85" s="199" customFormat="1" x14ac:dyDescent="0.25">
      <c r="A264" s="571"/>
      <c r="B264" s="332" t="s">
        <v>133</v>
      </c>
      <c r="C264" s="572"/>
      <c r="D264" s="381"/>
      <c r="E264" s="300"/>
      <c r="F264" s="300"/>
      <c r="G264" s="300"/>
      <c r="H264" s="300"/>
      <c r="I264" s="197"/>
      <c r="J264" s="197"/>
      <c r="K264" s="197"/>
      <c r="L264" s="197"/>
      <c r="M264" s="197"/>
      <c r="N264" s="197"/>
      <c r="O264" s="197"/>
      <c r="P264" s="197"/>
      <c r="Q264" s="197"/>
      <c r="R264" s="197"/>
      <c r="S264" s="197"/>
      <c r="T264" s="198"/>
      <c r="U264" s="198"/>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c r="BD264" s="198"/>
      <c r="BE264" s="198"/>
      <c r="BF264" s="198"/>
      <c r="BG264" s="198"/>
      <c r="BH264" s="198"/>
      <c r="BI264" s="198"/>
      <c r="BJ264" s="198"/>
      <c r="BK264" s="198"/>
      <c r="BL264" s="198"/>
      <c r="BM264" s="198"/>
      <c r="BN264" s="198"/>
      <c r="BO264" s="198"/>
      <c r="BP264" s="198"/>
      <c r="BQ264" s="198"/>
      <c r="BR264" s="198"/>
      <c r="BS264" s="198"/>
      <c r="BT264" s="198"/>
      <c r="BU264" s="198"/>
      <c r="BV264" s="198"/>
      <c r="BW264" s="198"/>
      <c r="BX264" s="198"/>
      <c r="BY264" s="198"/>
      <c r="BZ264" s="198"/>
      <c r="CA264" s="198"/>
      <c r="CB264" s="198"/>
      <c r="CC264" s="198"/>
      <c r="CD264" s="198"/>
      <c r="CE264" s="198"/>
      <c r="CF264" s="198"/>
      <c r="CG264" s="198"/>
    </row>
    <row r="265" spans="1:85" s="199" customFormat="1" x14ac:dyDescent="0.25">
      <c r="A265" s="571"/>
      <c r="B265" s="332" t="s">
        <v>136</v>
      </c>
      <c r="C265" s="380"/>
      <c r="D265" s="381"/>
      <c r="E265" s="300"/>
      <c r="F265" s="300"/>
      <c r="G265" s="300"/>
      <c r="H265" s="300"/>
      <c r="I265" s="197"/>
      <c r="J265" s="197"/>
      <c r="K265" s="197"/>
      <c r="L265" s="197"/>
      <c r="M265" s="197"/>
      <c r="N265" s="197"/>
      <c r="O265" s="197"/>
      <c r="P265" s="197"/>
      <c r="Q265" s="197"/>
      <c r="R265" s="197"/>
      <c r="S265" s="197"/>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C265" s="198"/>
      <c r="BD265" s="198"/>
      <c r="BE265" s="198"/>
      <c r="BF265" s="198"/>
      <c r="BG265" s="198"/>
      <c r="BH265" s="198"/>
      <c r="BI265" s="198"/>
      <c r="BJ265" s="198"/>
      <c r="BK265" s="198"/>
      <c r="BL265" s="198"/>
      <c r="BM265" s="198"/>
      <c r="BN265" s="198"/>
      <c r="BO265" s="198"/>
      <c r="BP265" s="198"/>
      <c r="BQ265" s="198"/>
      <c r="BR265" s="198"/>
      <c r="BS265" s="198"/>
      <c r="BT265" s="198"/>
      <c r="BU265" s="198"/>
      <c r="BV265" s="198"/>
      <c r="BW265" s="198"/>
      <c r="BX265" s="198"/>
      <c r="BY265" s="198"/>
      <c r="BZ265" s="198"/>
      <c r="CA265" s="198"/>
      <c r="CB265" s="198"/>
      <c r="CC265" s="198"/>
      <c r="CD265" s="198"/>
      <c r="CE265" s="198"/>
      <c r="CF265" s="198"/>
      <c r="CG265" s="198"/>
    </row>
    <row r="266" spans="1:85" s="199" customFormat="1" x14ac:dyDescent="0.25">
      <c r="A266" s="571"/>
      <c r="B266" s="332" t="s">
        <v>137</v>
      </c>
      <c r="C266" s="380"/>
      <c r="D266" s="381"/>
      <c r="E266" s="300"/>
      <c r="F266" s="300"/>
      <c r="G266" s="300"/>
      <c r="H266" s="300"/>
      <c r="I266" s="197"/>
      <c r="J266" s="197"/>
      <c r="K266" s="197"/>
      <c r="L266" s="197"/>
      <c r="M266" s="197"/>
      <c r="N266" s="197"/>
      <c r="O266" s="197"/>
      <c r="P266" s="197"/>
      <c r="Q266" s="197"/>
      <c r="R266" s="197"/>
      <c r="S266" s="197"/>
      <c r="T266" s="198"/>
      <c r="U266" s="198"/>
      <c r="V266" s="198"/>
      <c r="W266" s="198"/>
      <c r="X266" s="198"/>
      <c r="Y266" s="198"/>
      <c r="Z266" s="198"/>
      <c r="AA266" s="198"/>
      <c r="AB266" s="198"/>
      <c r="AC266" s="198"/>
      <c r="AD266" s="198"/>
      <c r="AE266" s="198"/>
      <c r="AF266" s="198"/>
      <c r="AG266" s="198"/>
      <c r="AH266" s="198"/>
      <c r="AI266" s="198"/>
      <c r="AJ266" s="198"/>
      <c r="AK266" s="198"/>
      <c r="AL266" s="198"/>
      <c r="AM266" s="198"/>
      <c r="AN266" s="198"/>
      <c r="AO266" s="198"/>
      <c r="AP266" s="198"/>
      <c r="AQ266" s="198"/>
      <c r="AR266" s="198"/>
      <c r="AS266" s="198"/>
      <c r="AT266" s="198"/>
      <c r="AU266" s="198"/>
      <c r="AV266" s="198"/>
      <c r="AW266" s="198"/>
      <c r="AX266" s="198"/>
      <c r="AY266" s="198"/>
      <c r="AZ266" s="198"/>
      <c r="BA266" s="198"/>
      <c r="BB266" s="198"/>
      <c r="BC266" s="198"/>
      <c r="BD266" s="198"/>
      <c r="BE266" s="198"/>
      <c r="BF266" s="198"/>
      <c r="BG266" s="198"/>
      <c r="BH266" s="198"/>
      <c r="BI266" s="198"/>
      <c r="BJ266" s="198"/>
      <c r="BK266" s="198"/>
      <c r="BL266" s="198"/>
      <c r="BM266" s="198"/>
      <c r="BN266" s="198"/>
      <c r="BO266" s="198"/>
      <c r="BP266" s="198"/>
      <c r="BQ266" s="198"/>
      <c r="BR266" s="198"/>
      <c r="BS266" s="198"/>
      <c r="BT266" s="198"/>
      <c r="BU266" s="198"/>
      <c r="BV266" s="198"/>
      <c r="BW266" s="198"/>
      <c r="BX266" s="198"/>
      <c r="BY266" s="198"/>
      <c r="BZ266" s="198"/>
      <c r="CA266" s="198"/>
      <c r="CB266" s="198"/>
      <c r="CC266" s="198"/>
      <c r="CD266" s="198"/>
      <c r="CE266" s="198"/>
      <c r="CF266" s="198"/>
      <c r="CG266" s="198"/>
    </row>
    <row r="267" spans="1:85" s="199" customFormat="1" x14ac:dyDescent="0.25">
      <c r="A267" s="571"/>
      <c r="B267" s="332" t="s">
        <v>138</v>
      </c>
      <c r="C267" s="380"/>
      <c r="D267" s="381"/>
      <c r="E267" s="300"/>
      <c r="F267" s="300"/>
      <c r="G267" s="300"/>
      <c r="H267" s="300"/>
      <c r="I267" s="197"/>
      <c r="J267" s="197"/>
      <c r="K267" s="197"/>
      <c r="L267" s="197"/>
      <c r="M267" s="197"/>
      <c r="N267" s="197"/>
      <c r="O267" s="197"/>
      <c r="P267" s="197"/>
      <c r="Q267" s="197"/>
      <c r="R267" s="197"/>
      <c r="S267" s="197"/>
      <c r="T267" s="198"/>
      <c r="U267" s="198"/>
      <c r="V267" s="198"/>
      <c r="W267" s="198"/>
      <c r="X267" s="198"/>
      <c r="Y267" s="198"/>
      <c r="Z267" s="198"/>
      <c r="AA267" s="198"/>
      <c r="AB267" s="198"/>
      <c r="AC267" s="198"/>
      <c r="AD267" s="198"/>
      <c r="AE267" s="198"/>
      <c r="AF267" s="198"/>
      <c r="AG267" s="198"/>
      <c r="AH267" s="198"/>
      <c r="AI267" s="198"/>
      <c r="AJ267" s="198"/>
      <c r="AK267" s="198"/>
      <c r="AL267" s="198"/>
      <c r="AM267" s="198"/>
      <c r="AN267" s="198"/>
      <c r="AO267" s="198"/>
      <c r="AP267" s="198"/>
      <c r="AQ267" s="198"/>
      <c r="AR267" s="198"/>
      <c r="AS267" s="198"/>
      <c r="AT267" s="198"/>
      <c r="AU267" s="198"/>
      <c r="AV267" s="198"/>
      <c r="AW267" s="198"/>
      <c r="AX267" s="198"/>
      <c r="AY267" s="198"/>
      <c r="AZ267" s="198"/>
      <c r="BA267" s="198"/>
      <c r="BB267" s="198"/>
      <c r="BC267" s="198"/>
      <c r="BD267" s="198"/>
      <c r="BE267" s="198"/>
      <c r="BF267" s="198"/>
      <c r="BG267" s="198"/>
      <c r="BH267" s="198"/>
      <c r="BI267" s="198"/>
      <c r="BJ267" s="198"/>
      <c r="BK267" s="198"/>
      <c r="BL267" s="198"/>
      <c r="BM267" s="198"/>
      <c r="BN267" s="198"/>
      <c r="BO267" s="198"/>
      <c r="BP267" s="198"/>
      <c r="BQ267" s="198"/>
      <c r="BR267" s="198"/>
      <c r="BS267" s="198"/>
      <c r="BT267" s="198"/>
      <c r="BU267" s="198"/>
      <c r="BV267" s="198"/>
      <c r="BW267" s="198"/>
      <c r="BX267" s="198"/>
      <c r="BY267" s="198"/>
      <c r="BZ267" s="198"/>
      <c r="CA267" s="198"/>
      <c r="CB267" s="198"/>
      <c r="CC267" s="198"/>
      <c r="CD267" s="198"/>
      <c r="CE267" s="198"/>
      <c r="CF267" s="198"/>
      <c r="CG267" s="198"/>
    </row>
    <row r="268" spans="1:85" s="199" customFormat="1" ht="15.6" x14ac:dyDescent="0.25">
      <c r="A268" s="573"/>
      <c r="B268" s="574" t="s">
        <v>30</v>
      </c>
      <c r="C268" s="575"/>
      <c r="D268" s="576"/>
      <c r="E268" s="577"/>
      <c r="F268" s="577"/>
      <c r="G268" s="577"/>
      <c r="H268" s="577"/>
      <c r="I268" s="197"/>
      <c r="J268" s="197"/>
      <c r="K268" s="197"/>
      <c r="L268" s="197"/>
      <c r="M268" s="197"/>
      <c r="N268" s="197"/>
      <c r="O268" s="197"/>
      <c r="P268" s="197"/>
      <c r="Q268" s="197"/>
      <c r="R268" s="197"/>
      <c r="S268" s="197"/>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c r="BD268" s="198"/>
      <c r="BE268" s="198"/>
      <c r="BF268" s="198"/>
      <c r="BG268" s="198"/>
      <c r="BH268" s="198"/>
      <c r="BI268" s="198"/>
      <c r="BJ268" s="198"/>
      <c r="BK268" s="198"/>
      <c r="BL268" s="198"/>
      <c r="BM268" s="198"/>
      <c r="BN268" s="198"/>
      <c r="BO268" s="198"/>
      <c r="BP268" s="198"/>
      <c r="BQ268" s="198"/>
      <c r="BR268" s="198"/>
      <c r="BS268" s="198"/>
      <c r="BT268" s="198"/>
      <c r="BU268" s="198"/>
      <c r="BV268" s="198"/>
      <c r="BW268" s="198"/>
      <c r="BX268" s="198"/>
      <c r="BY268" s="198"/>
      <c r="BZ268" s="198"/>
      <c r="CA268" s="198"/>
      <c r="CB268" s="198"/>
      <c r="CC268" s="198"/>
      <c r="CD268" s="198"/>
      <c r="CE268" s="198"/>
      <c r="CF268" s="198"/>
      <c r="CG268" s="198"/>
    </row>
    <row r="269" spans="1:85" s="199" customFormat="1" ht="15.6" x14ac:dyDescent="0.25">
      <c r="A269" s="326" t="s">
        <v>139</v>
      </c>
      <c r="B269" s="327"/>
      <c r="C269" s="568"/>
      <c r="D269" s="569"/>
      <c r="E269" s="330"/>
      <c r="F269" s="330"/>
      <c r="G269" s="330"/>
      <c r="H269" s="330"/>
      <c r="I269" s="197"/>
      <c r="J269" s="197"/>
      <c r="K269" s="197"/>
      <c r="L269" s="197"/>
      <c r="M269" s="197"/>
      <c r="N269" s="197"/>
      <c r="O269" s="197"/>
      <c r="P269" s="197"/>
      <c r="Q269" s="197"/>
      <c r="R269" s="197"/>
      <c r="S269" s="197"/>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c r="BD269" s="198"/>
      <c r="BE269" s="198"/>
      <c r="BF269" s="198"/>
      <c r="BG269" s="198"/>
      <c r="BH269" s="198"/>
      <c r="BI269" s="198"/>
      <c r="BJ269" s="198"/>
      <c r="BK269" s="198"/>
      <c r="BL269" s="198"/>
      <c r="BM269" s="198"/>
      <c r="BN269" s="198"/>
      <c r="BO269" s="198"/>
      <c r="BP269" s="198"/>
      <c r="BQ269" s="198"/>
      <c r="BR269" s="198"/>
      <c r="BS269" s="198"/>
      <c r="BT269" s="198"/>
      <c r="BU269" s="198"/>
      <c r="BV269" s="198"/>
      <c r="BW269" s="198"/>
      <c r="BX269" s="198"/>
      <c r="BY269" s="198"/>
      <c r="BZ269" s="198"/>
      <c r="CA269" s="198"/>
      <c r="CB269" s="198"/>
      <c r="CC269" s="198"/>
      <c r="CD269" s="198"/>
      <c r="CE269" s="198"/>
      <c r="CF269" s="198"/>
      <c r="CG269" s="198"/>
    </row>
    <row r="270" spans="1:85" s="199" customFormat="1" x14ac:dyDescent="0.25">
      <c r="A270" s="331"/>
      <c r="B270" s="332" t="s">
        <v>126</v>
      </c>
      <c r="C270" s="380"/>
      <c r="D270" s="381"/>
      <c r="E270" s="334"/>
      <c r="F270" s="334"/>
      <c r="G270" s="334"/>
      <c r="H270" s="334"/>
      <c r="I270" s="197"/>
      <c r="J270" s="197"/>
      <c r="K270" s="197"/>
      <c r="L270" s="197"/>
      <c r="M270" s="197"/>
      <c r="N270" s="197"/>
      <c r="O270" s="197"/>
      <c r="P270" s="197"/>
      <c r="Q270" s="197"/>
      <c r="R270" s="197"/>
      <c r="S270" s="197"/>
      <c r="T270" s="198"/>
      <c r="U270" s="198"/>
      <c r="V270" s="198"/>
      <c r="W270" s="198"/>
      <c r="X270" s="198"/>
      <c r="Y270" s="198"/>
      <c r="Z270" s="198"/>
      <c r="AA270" s="198"/>
      <c r="AB270" s="198"/>
      <c r="AC270" s="198"/>
      <c r="AD270" s="198"/>
      <c r="AE270" s="198"/>
      <c r="AF270" s="198"/>
      <c r="AG270" s="198"/>
      <c r="AH270" s="198"/>
      <c r="AI270" s="198"/>
      <c r="AJ270" s="198"/>
      <c r="AK270" s="198"/>
      <c r="AL270" s="198"/>
      <c r="AM270" s="198"/>
      <c r="AN270" s="198"/>
      <c r="AO270" s="198"/>
      <c r="AP270" s="198"/>
      <c r="AQ270" s="198"/>
      <c r="AR270" s="198"/>
      <c r="AS270" s="198"/>
      <c r="AT270" s="198"/>
      <c r="AU270" s="198"/>
      <c r="AV270" s="198"/>
      <c r="AW270" s="198"/>
      <c r="AX270" s="198"/>
      <c r="AY270" s="198"/>
      <c r="AZ270" s="198"/>
      <c r="BA270" s="198"/>
      <c r="BB270" s="198"/>
      <c r="BC270" s="198"/>
      <c r="BD270" s="198"/>
      <c r="BE270" s="198"/>
      <c r="BF270" s="198"/>
      <c r="BG270" s="198"/>
      <c r="BH270" s="198"/>
      <c r="BI270" s="198"/>
      <c r="BJ270" s="198"/>
      <c r="BK270" s="198"/>
      <c r="BL270" s="198"/>
      <c r="BM270" s="198"/>
      <c r="BN270" s="198"/>
      <c r="BO270" s="198"/>
      <c r="BP270" s="198"/>
      <c r="BQ270" s="198"/>
      <c r="BR270" s="198"/>
      <c r="BS270" s="198"/>
      <c r="BT270" s="198"/>
      <c r="BU270" s="198"/>
      <c r="BV270" s="198"/>
      <c r="BW270" s="198"/>
      <c r="BX270" s="198"/>
      <c r="BY270" s="198"/>
      <c r="BZ270" s="198"/>
      <c r="CA270" s="198"/>
      <c r="CB270" s="198"/>
      <c r="CC270" s="198"/>
      <c r="CD270" s="198"/>
      <c r="CE270" s="198"/>
      <c r="CF270" s="198"/>
      <c r="CG270" s="198"/>
    </row>
    <row r="271" spans="1:85" s="199" customFormat="1" x14ac:dyDescent="0.25">
      <c r="A271" s="331"/>
      <c r="B271" s="332" t="s">
        <v>127</v>
      </c>
      <c r="C271" s="380"/>
      <c r="D271" s="381"/>
      <c r="E271" s="334"/>
      <c r="F271" s="334"/>
      <c r="G271" s="334"/>
      <c r="H271" s="334"/>
      <c r="I271" s="197"/>
      <c r="J271" s="197"/>
      <c r="K271" s="197"/>
      <c r="L271" s="197"/>
      <c r="M271" s="197"/>
      <c r="N271" s="197"/>
      <c r="O271" s="197"/>
      <c r="P271" s="197"/>
      <c r="Q271" s="197"/>
      <c r="R271" s="197"/>
      <c r="S271" s="197"/>
      <c r="T271" s="198"/>
      <c r="U271" s="198"/>
      <c r="V271" s="198"/>
      <c r="W271" s="198"/>
      <c r="X271" s="198"/>
      <c r="Y271" s="198"/>
      <c r="Z271" s="198"/>
      <c r="AA271" s="198"/>
      <c r="AB271" s="198"/>
      <c r="AC271" s="198"/>
      <c r="AD271" s="198"/>
      <c r="AE271" s="198"/>
      <c r="AF271" s="198"/>
      <c r="AG271" s="198"/>
      <c r="AH271" s="198"/>
      <c r="AI271" s="198"/>
      <c r="AJ271" s="198"/>
      <c r="AK271" s="198"/>
      <c r="AL271" s="198"/>
      <c r="AM271" s="198"/>
      <c r="AN271" s="198"/>
      <c r="AO271" s="198"/>
      <c r="AP271" s="198"/>
      <c r="AQ271" s="198"/>
      <c r="AR271" s="198"/>
      <c r="AS271" s="198"/>
      <c r="AT271" s="198"/>
      <c r="AU271" s="198"/>
      <c r="AV271" s="198"/>
      <c r="AW271" s="198"/>
      <c r="AX271" s="198"/>
      <c r="AY271" s="198"/>
      <c r="AZ271" s="198"/>
      <c r="BA271" s="198"/>
      <c r="BB271" s="198"/>
      <c r="BC271" s="198"/>
      <c r="BD271" s="198"/>
      <c r="BE271" s="198"/>
      <c r="BF271" s="198"/>
      <c r="BG271" s="198"/>
      <c r="BH271" s="198"/>
      <c r="BI271" s="198"/>
      <c r="BJ271" s="198"/>
      <c r="BK271" s="198"/>
      <c r="BL271" s="198"/>
      <c r="BM271" s="198"/>
      <c r="BN271" s="198"/>
      <c r="BO271" s="198"/>
      <c r="BP271" s="198"/>
      <c r="BQ271" s="198"/>
      <c r="BR271" s="198"/>
      <c r="BS271" s="198"/>
      <c r="BT271" s="198"/>
      <c r="BU271" s="198"/>
      <c r="BV271" s="198"/>
      <c r="BW271" s="198"/>
      <c r="BX271" s="198"/>
      <c r="BY271" s="198"/>
      <c r="BZ271" s="198"/>
      <c r="CA271" s="198"/>
      <c r="CB271" s="198"/>
      <c r="CC271" s="198"/>
      <c r="CD271" s="198"/>
      <c r="CE271" s="198"/>
      <c r="CF271" s="198"/>
      <c r="CG271" s="198"/>
    </row>
    <row r="272" spans="1:85" s="199" customFormat="1" x14ac:dyDescent="0.25">
      <c r="A272" s="331"/>
      <c r="B272" s="332" t="s">
        <v>142</v>
      </c>
      <c r="C272" s="380"/>
      <c r="D272" s="381"/>
      <c r="E272" s="334"/>
      <c r="F272" s="334"/>
      <c r="G272" s="334"/>
      <c r="H272" s="334"/>
      <c r="I272" s="197"/>
      <c r="J272" s="197"/>
      <c r="K272" s="197"/>
      <c r="L272" s="197"/>
      <c r="M272" s="197"/>
      <c r="N272" s="197"/>
      <c r="O272" s="197"/>
      <c r="P272" s="197"/>
      <c r="Q272" s="197"/>
      <c r="R272" s="197"/>
      <c r="S272" s="197"/>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c r="BD272" s="198"/>
      <c r="BE272" s="198"/>
      <c r="BF272" s="198"/>
      <c r="BG272" s="198"/>
      <c r="BH272" s="198"/>
      <c r="BI272" s="198"/>
      <c r="BJ272" s="198"/>
      <c r="BK272" s="198"/>
      <c r="BL272" s="198"/>
      <c r="BM272" s="198"/>
      <c r="BN272" s="198"/>
      <c r="BO272" s="198"/>
      <c r="BP272" s="198"/>
      <c r="BQ272" s="198"/>
      <c r="BR272" s="198"/>
      <c r="BS272" s="198"/>
      <c r="BT272" s="198"/>
      <c r="BU272" s="198"/>
      <c r="BV272" s="198"/>
      <c r="BW272" s="198"/>
      <c r="BX272" s="198"/>
      <c r="BY272" s="198"/>
      <c r="BZ272" s="198"/>
      <c r="CA272" s="198"/>
      <c r="CB272" s="198"/>
      <c r="CC272" s="198"/>
      <c r="CD272" s="198"/>
      <c r="CE272" s="198"/>
      <c r="CF272" s="198"/>
      <c r="CG272" s="198"/>
    </row>
    <row r="273" spans="1:85" s="199" customFormat="1" x14ac:dyDescent="0.25">
      <c r="A273" s="331"/>
      <c r="B273" s="332" t="s">
        <v>128</v>
      </c>
      <c r="C273" s="380"/>
      <c r="D273" s="381"/>
      <c r="E273" s="334"/>
      <c r="F273" s="334"/>
      <c r="G273" s="334"/>
      <c r="H273" s="334"/>
      <c r="I273" s="197"/>
      <c r="J273" s="197"/>
      <c r="K273" s="197"/>
      <c r="L273" s="197"/>
      <c r="M273" s="197"/>
      <c r="N273" s="197"/>
      <c r="O273" s="197"/>
      <c r="P273" s="197"/>
      <c r="Q273" s="197"/>
      <c r="R273" s="197"/>
      <c r="S273" s="197"/>
      <c r="T273" s="198"/>
      <c r="U273" s="198"/>
      <c r="V273" s="198"/>
      <c r="W273" s="198"/>
      <c r="X273" s="198"/>
      <c r="Y273" s="198"/>
      <c r="Z273" s="198"/>
      <c r="AA273" s="198"/>
      <c r="AB273" s="198"/>
      <c r="AC273" s="198"/>
      <c r="AD273" s="198"/>
      <c r="AE273" s="198"/>
      <c r="AF273" s="198"/>
      <c r="AG273" s="198"/>
      <c r="AH273" s="198"/>
      <c r="AI273" s="198"/>
      <c r="AJ273" s="198"/>
      <c r="AK273" s="198"/>
      <c r="AL273" s="198"/>
      <c r="AM273" s="198"/>
      <c r="AN273" s="198"/>
      <c r="AO273" s="198"/>
      <c r="AP273" s="198"/>
      <c r="AQ273" s="198"/>
      <c r="AR273" s="198"/>
      <c r="AS273" s="198"/>
      <c r="AT273" s="198"/>
      <c r="AU273" s="198"/>
      <c r="AV273" s="198"/>
      <c r="AW273" s="198"/>
      <c r="AX273" s="198"/>
      <c r="AY273" s="198"/>
      <c r="AZ273" s="198"/>
      <c r="BA273" s="198"/>
      <c r="BB273" s="198"/>
      <c r="BC273" s="198"/>
      <c r="BD273" s="198"/>
      <c r="BE273" s="198"/>
      <c r="BF273" s="198"/>
      <c r="BG273" s="198"/>
      <c r="BH273" s="198"/>
      <c r="BI273" s="198"/>
      <c r="BJ273" s="198"/>
      <c r="BK273" s="198"/>
      <c r="BL273" s="198"/>
      <c r="BM273" s="198"/>
      <c r="BN273" s="198"/>
      <c r="BO273" s="198"/>
      <c r="BP273" s="198"/>
      <c r="BQ273" s="198"/>
      <c r="BR273" s="198"/>
      <c r="BS273" s="198"/>
      <c r="BT273" s="198"/>
      <c r="BU273" s="198"/>
      <c r="BV273" s="198"/>
      <c r="BW273" s="198"/>
      <c r="BX273" s="198"/>
      <c r="BY273" s="198"/>
      <c r="BZ273" s="198"/>
      <c r="CA273" s="198"/>
      <c r="CB273" s="198"/>
      <c r="CC273" s="198"/>
      <c r="CD273" s="198"/>
      <c r="CE273" s="198"/>
      <c r="CF273" s="198"/>
      <c r="CG273" s="198"/>
    </row>
    <row r="274" spans="1:85" s="199" customFormat="1" x14ac:dyDescent="0.25">
      <c r="A274" s="331"/>
      <c r="B274" s="332" t="s">
        <v>143</v>
      </c>
      <c r="C274" s="380"/>
      <c r="D274" s="381"/>
      <c r="E274" s="334"/>
      <c r="F274" s="334"/>
      <c r="G274" s="334"/>
      <c r="H274" s="334"/>
      <c r="I274" s="197"/>
      <c r="J274" s="197"/>
      <c r="K274" s="197"/>
      <c r="L274" s="197"/>
      <c r="M274" s="197"/>
      <c r="N274" s="197"/>
      <c r="O274" s="197"/>
      <c r="P274" s="197"/>
      <c r="Q274" s="197"/>
      <c r="R274" s="197"/>
      <c r="S274" s="197"/>
      <c r="T274" s="198"/>
      <c r="U274" s="198"/>
      <c r="V274" s="198"/>
      <c r="W274" s="198"/>
      <c r="X274" s="198"/>
      <c r="Y274" s="198"/>
      <c r="Z274" s="198"/>
      <c r="AA274" s="198"/>
      <c r="AB274" s="198"/>
      <c r="AC274" s="198"/>
      <c r="AD274" s="198"/>
      <c r="AE274" s="198"/>
      <c r="AF274" s="198"/>
      <c r="AG274" s="198"/>
      <c r="AH274" s="198"/>
      <c r="AI274" s="198"/>
      <c r="AJ274" s="198"/>
      <c r="AK274" s="198"/>
      <c r="AL274" s="198"/>
      <c r="AM274" s="198"/>
      <c r="AN274" s="198"/>
      <c r="AO274" s="198"/>
      <c r="AP274" s="198"/>
      <c r="AQ274" s="198"/>
      <c r="AR274" s="198"/>
      <c r="AS274" s="198"/>
      <c r="AT274" s="198"/>
      <c r="AU274" s="198"/>
      <c r="AV274" s="198"/>
      <c r="AW274" s="198"/>
      <c r="AX274" s="198"/>
      <c r="AY274" s="198"/>
      <c r="AZ274" s="198"/>
      <c r="BA274" s="198"/>
      <c r="BB274" s="198"/>
      <c r="BC274" s="198"/>
      <c r="BD274" s="198"/>
      <c r="BE274" s="198"/>
      <c r="BF274" s="198"/>
      <c r="BG274" s="198"/>
      <c r="BH274" s="198"/>
      <c r="BI274" s="198"/>
      <c r="BJ274" s="198"/>
      <c r="BK274" s="198"/>
      <c r="BL274" s="198"/>
      <c r="BM274" s="198"/>
      <c r="BN274" s="198"/>
      <c r="BO274" s="198"/>
      <c r="BP274" s="198"/>
      <c r="BQ274" s="198"/>
      <c r="BR274" s="198"/>
      <c r="BS274" s="198"/>
      <c r="BT274" s="198"/>
      <c r="BU274" s="198"/>
      <c r="BV274" s="198"/>
      <c r="BW274" s="198"/>
      <c r="BX274" s="198"/>
      <c r="BY274" s="198"/>
      <c r="BZ274" s="198"/>
      <c r="CA274" s="198"/>
      <c r="CB274" s="198"/>
      <c r="CC274" s="198"/>
      <c r="CD274" s="198"/>
      <c r="CE274" s="198"/>
      <c r="CF274" s="198"/>
      <c r="CG274" s="198"/>
    </row>
    <row r="275" spans="1:85" s="199" customFormat="1" x14ac:dyDescent="0.25">
      <c r="A275" s="331"/>
      <c r="B275" s="332" t="s">
        <v>129</v>
      </c>
      <c r="C275" s="380"/>
      <c r="D275" s="381"/>
      <c r="E275" s="334"/>
      <c r="F275" s="334"/>
      <c r="G275" s="334"/>
      <c r="H275" s="334"/>
      <c r="I275" s="197"/>
      <c r="J275" s="197"/>
      <c r="K275" s="197"/>
      <c r="L275" s="197"/>
      <c r="M275" s="197"/>
      <c r="N275" s="197"/>
      <c r="O275" s="197"/>
      <c r="P275" s="197"/>
      <c r="Q275" s="197"/>
      <c r="R275" s="197"/>
      <c r="S275" s="197"/>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c r="BD275" s="198"/>
      <c r="BE275" s="198"/>
      <c r="BF275" s="198"/>
      <c r="BG275" s="198"/>
      <c r="BH275" s="198"/>
      <c r="BI275" s="198"/>
      <c r="BJ275" s="198"/>
      <c r="BK275" s="198"/>
      <c r="BL275" s="198"/>
      <c r="BM275" s="198"/>
      <c r="BN275" s="198"/>
      <c r="BO275" s="198"/>
      <c r="BP275" s="198"/>
      <c r="BQ275" s="198"/>
      <c r="BR275" s="198"/>
      <c r="BS275" s="198"/>
      <c r="BT275" s="198"/>
      <c r="BU275" s="198"/>
      <c r="BV275" s="198"/>
      <c r="BW275" s="198"/>
      <c r="BX275" s="198"/>
      <c r="BY275" s="198"/>
      <c r="BZ275" s="198"/>
      <c r="CA275" s="198"/>
      <c r="CB275" s="198"/>
      <c r="CC275" s="198"/>
      <c r="CD275" s="198"/>
      <c r="CE275" s="198"/>
      <c r="CF275" s="198"/>
      <c r="CG275" s="198"/>
    </row>
    <row r="276" spans="1:85" s="199" customFormat="1" x14ac:dyDescent="0.25">
      <c r="A276" s="331"/>
      <c r="B276" s="332"/>
      <c r="C276" s="578"/>
      <c r="D276" s="579"/>
      <c r="E276" s="334"/>
      <c r="F276" s="334"/>
      <c r="G276" s="334"/>
      <c r="H276" s="334"/>
      <c r="I276" s="197"/>
      <c r="J276" s="197"/>
      <c r="K276" s="197"/>
      <c r="L276" s="197"/>
      <c r="M276" s="197"/>
      <c r="N276" s="197"/>
      <c r="O276" s="197"/>
      <c r="P276" s="197"/>
      <c r="Q276" s="197"/>
      <c r="R276" s="197"/>
      <c r="S276" s="197"/>
      <c r="T276" s="198"/>
      <c r="U276" s="198"/>
      <c r="V276" s="198"/>
      <c r="W276" s="198"/>
      <c r="X276" s="198"/>
      <c r="Y276" s="198"/>
      <c r="Z276" s="198"/>
      <c r="AA276" s="198"/>
      <c r="AB276" s="198"/>
      <c r="AC276" s="198"/>
      <c r="AD276" s="198"/>
      <c r="AE276" s="198"/>
      <c r="AF276" s="198"/>
      <c r="AG276" s="198"/>
      <c r="AH276" s="198"/>
      <c r="AI276" s="198"/>
      <c r="AJ276" s="198"/>
      <c r="AK276" s="198"/>
      <c r="AL276" s="198"/>
      <c r="AM276" s="198"/>
      <c r="AN276" s="198"/>
      <c r="AO276" s="198"/>
      <c r="AP276" s="198"/>
      <c r="AQ276" s="198"/>
      <c r="AR276" s="198"/>
      <c r="AS276" s="198"/>
      <c r="AT276" s="198"/>
      <c r="AU276" s="198"/>
      <c r="AV276" s="198"/>
      <c r="AW276" s="198"/>
      <c r="AX276" s="198"/>
      <c r="AY276" s="198"/>
      <c r="AZ276" s="198"/>
      <c r="BA276" s="198"/>
      <c r="BB276" s="198"/>
      <c r="BC276" s="198"/>
      <c r="BD276" s="198"/>
      <c r="BE276" s="198"/>
      <c r="BF276" s="198"/>
      <c r="BG276" s="198"/>
      <c r="BH276" s="198"/>
      <c r="BI276" s="198"/>
      <c r="BJ276" s="198"/>
      <c r="BK276" s="198"/>
      <c r="BL276" s="198"/>
      <c r="BM276" s="198"/>
      <c r="BN276" s="198"/>
      <c r="BO276" s="198"/>
      <c r="BP276" s="198"/>
      <c r="BQ276" s="198"/>
      <c r="BR276" s="198"/>
      <c r="BS276" s="198"/>
      <c r="BT276" s="198"/>
      <c r="BU276" s="198"/>
      <c r="BV276" s="198"/>
      <c r="BW276" s="198"/>
      <c r="BX276" s="198"/>
      <c r="BY276" s="198"/>
      <c r="BZ276" s="198"/>
      <c r="CA276" s="198"/>
      <c r="CB276" s="198"/>
      <c r="CC276" s="198"/>
      <c r="CD276" s="198"/>
      <c r="CE276" s="198"/>
      <c r="CF276" s="198"/>
      <c r="CG276" s="198"/>
    </row>
    <row r="277" spans="1:85" s="199" customFormat="1" x14ac:dyDescent="0.25">
      <c r="A277" s="331"/>
      <c r="B277" s="332" t="s">
        <v>130</v>
      </c>
      <c r="C277" s="578"/>
      <c r="D277" s="579"/>
      <c r="E277" s="334"/>
      <c r="F277" s="334"/>
      <c r="G277" s="334"/>
      <c r="H277" s="334"/>
      <c r="I277" s="197"/>
      <c r="J277" s="197"/>
      <c r="K277" s="197"/>
      <c r="L277" s="197"/>
      <c r="M277" s="197"/>
      <c r="N277" s="197"/>
      <c r="O277" s="197"/>
      <c r="P277" s="197"/>
      <c r="Q277" s="197"/>
      <c r="R277" s="197"/>
      <c r="S277" s="197"/>
      <c r="T277" s="198"/>
      <c r="U277" s="198"/>
      <c r="V277" s="198"/>
      <c r="W277" s="198"/>
      <c r="X277" s="198"/>
      <c r="Y277" s="198"/>
      <c r="Z277" s="198"/>
      <c r="AA277" s="198"/>
      <c r="AB277" s="198"/>
      <c r="AC277" s="198"/>
      <c r="AD277" s="198"/>
      <c r="AE277" s="198"/>
      <c r="AF277" s="198"/>
      <c r="AG277" s="198"/>
      <c r="AH277" s="198"/>
      <c r="AI277" s="198"/>
      <c r="AJ277" s="198"/>
      <c r="AK277" s="198"/>
      <c r="AL277" s="198"/>
      <c r="AM277" s="198"/>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c r="BV277" s="198"/>
      <c r="BW277" s="198"/>
      <c r="BX277" s="198"/>
      <c r="BY277" s="198"/>
      <c r="BZ277" s="198"/>
      <c r="CA277" s="198"/>
      <c r="CB277" s="198"/>
      <c r="CC277" s="198"/>
      <c r="CD277" s="198"/>
      <c r="CE277" s="198"/>
      <c r="CF277" s="198"/>
      <c r="CG277" s="198"/>
    </row>
    <row r="278" spans="1:85" s="199" customFormat="1" x14ac:dyDescent="0.25">
      <c r="A278" s="331"/>
      <c r="B278" s="332" t="s">
        <v>131</v>
      </c>
      <c r="C278" s="279"/>
      <c r="D278" s="579"/>
      <c r="E278" s="334"/>
      <c r="F278" s="334"/>
      <c r="G278" s="334"/>
      <c r="H278" s="334"/>
      <c r="I278" s="197"/>
      <c r="J278" s="197"/>
      <c r="K278" s="197"/>
      <c r="L278" s="197"/>
      <c r="M278" s="197"/>
      <c r="N278" s="197"/>
      <c r="O278" s="197"/>
      <c r="P278" s="197"/>
      <c r="Q278" s="197"/>
      <c r="R278" s="197"/>
      <c r="S278" s="197"/>
      <c r="T278" s="198"/>
      <c r="U278" s="198"/>
      <c r="V278" s="198"/>
      <c r="W278" s="198"/>
      <c r="X278" s="198"/>
      <c r="Y278" s="198"/>
      <c r="Z278" s="198"/>
      <c r="AA278" s="198"/>
      <c r="AB278" s="198"/>
      <c r="AC278" s="198"/>
      <c r="AD278" s="198"/>
      <c r="AE278" s="198"/>
      <c r="AF278" s="198"/>
      <c r="AG278" s="198"/>
      <c r="AH278" s="198"/>
      <c r="AI278" s="198"/>
      <c r="AJ278" s="198"/>
      <c r="AK278" s="198"/>
      <c r="AL278" s="198"/>
      <c r="AM278" s="198"/>
      <c r="AN278" s="198"/>
      <c r="AO278" s="198"/>
      <c r="AP278" s="198"/>
      <c r="AQ278" s="198"/>
      <c r="AR278" s="198"/>
      <c r="AS278" s="198"/>
      <c r="AT278" s="198"/>
      <c r="AU278" s="198"/>
      <c r="AV278" s="198"/>
      <c r="AW278" s="198"/>
      <c r="AX278" s="198"/>
      <c r="AY278" s="198"/>
      <c r="AZ278" s="198"/>
      <c r="BA278" s="198"/>
      <c r="BB278" s="198"/>
      <c r="BC278" s="198"/>
      <c r="BD278" s="198"/>
      <c r="BE278" s="198"/>
      <c r="BF278" s="198"/>
      <c r="BG278" s="198"/>
      <c r="BH278" s="198"/>
      <c r="BI278" s="198"/>
      <c r="BJ278" s="198"/>
      <c r="BK278" s="198"/>
      <c r="BL278" s="198"/>
      <c r="BM278" s="198"/>
      <c r="BN278" s="198"/>
      <c r="BO278" s="198"/>
      <c r="BP278" s="198"/>
      <c r="BQ278" s="198"/>
      <c r="BR278" s="198"/>
      <c r="BS278" s="198"/>
      <c r="BT278" s="198"/>
      <c r="BU278" s="198"/>
      <c r="BV278" s="198"/>
      <c r="BW278" s="198"/>
      <c r="BX278" s="198"/>
      <c r="BY278" s="198"/>
      <c r="BZ278" s="198"/>
      <c r="CA278" s="198"/>
      <c r="CB278" s="198"/>
      <c r="CC278" s="198"/>
      <c r="CD278" s="198"/>
      <c r="CE278" s="198"/>
      <c r="CF278" s="198"/>
      <c r="CG278" s="198"/>
    </row>
    <row r="279" spans="1:85" s="199" customFormat="1" x14ac:dyDescent="0.25">
      <c r="A279" s="331"/>
      <c r="B279" s="332" t="s">
        <v>132</v>
      </c>
      <c r="C279" s="279"/>
      <c r="D279" s="579"/>
      <c r="E279" s="334"/>
      <c r="F279" s="334"/>
      <c r="G279" s="334"/>
      <c r="H279" s="334"/>
      <c r="I279" s="197"/>
      <c r="J279" s="197"/>
      <c r="K279" s="197"/>
      <c r="L279" s="197"/>
      <c r="M279" s="197"/>
      <c r="N279" s="197"/>
      <c r="O279" s="197"/>
      <c r="P279" s="197"/>
      <c r="Q279" s="197"/>
      <c r="R279" s="197"/>
      <c r="S279" s="197"/>
      <c r="T279" s="198"/>
      <c r="U279" s="198"/>
      <c r="V279" s="198"/>
      <c r="W279" s="198"/>
      <c r="X279" s="198"/>
      <c r="Y279" s="198"/>
      <c r="Z279" s="198"/>
      <c r="AA279" s="198"/>
      <c r="AB279" s="198"/>
      <c r="AC279" s="198"/>
      <c r="AD279" s="198"/>
      <c r="AE279" s="198"/>
      <c r="AF279" s="198"/>
      <c r="AG279" s="198"/>
      <c r="AH279" s="198"/>
      <c r="AI279" s="198"/>
      <c r="AJ279" s="198"/>
      <c r="AK279" s="198"/>
      <c r="AL279" s="198"/>
      <c r="AM279" s="198"/>
      <c r="AN279" s="198"/>
      <c r="AO279" s="198"/>
      <c r="AP279" s="198"/>
      <c r="AQ279" s="198"/>
      <c r="AR279" s="198"/>
      <c r="AS279" s="198"/>
      <c r="AT279" s="198"/>
      <c r="AU279" s="198"/>
      <c r="AV279" s="198"/>
      <c r="AW279" s="198"/>
      <c r="AX279" s="198"/>
      <c r="AY279" s="198"/>
      <c r="AZ279" s="198"/>
      <c r="BA279" s="198"/>
      <c r="BB279" s="198"/>
      <c r="BC279" s="198"/>
      <c r="BD279" s="198"/>
      <c r="BE279" s="198"/>
      <c r="BF279" s="198"/>
      <c r="BG279" s="198"/>
      <c r="BH279" s="198"/>
      <c r="BI279" s="198"/>
      <c r="BJ279" s="198"/>
      <c r="BK279" s="198"/>
      <c r="BL279" s="198"/>
      <c r="BM279" s="198"/>
      <c r="BN279" s="198"/>
      <c r="BO279" s="198"/>
      <c r="BP279" s="198"/>
      <c r="BQ279" s="198"/>
      <c r="BR279" s="198"/>
      <c r="BS279" s="198"/>
      <c r="BT279" s="198"/>
      <c r="BU279" s="198"/>
      <c r="BV279" s="198"/>
      <c r="BW279" s="198"/>
      <c r="BX279" s="198"/>
      <c r="BY279" s="198"/>
      <c r="BZ279" s="198"/>
      <c r="CA279" s="198"/>
      <c r="CB279" s="198"/>
      <c r="CC279" s="198"/>
      <c r="CD279" s="198"/>
      <c r="CE279" s="198"/>
      <c r="CF279" s="198"/>
      <c r="CG279" s="198"/>
    </row>
    <row r="280" spans="1:85" s="199" customFormat="1" x14ac:dyDescent="0.25">
      <c r="A280" s="331"/>
      <c r="B280" s="332" t="s">
        <v>133</v>
      </c>
      <c r="C280" s="572"/>
      <c r="D280" s="381"/>
      <c r="E280" s="334"/>
      <c r="F280" s="334"/>
      <c r="G280" s="334"/>
      <c r="H280" s="334"/>
      <c r="I280" s="197"/>
      <c r="J280" s="197"/>
      <c r="K280" s="197"/>
      <c r="L280" s="197"/>
      <c r="M280" s="197"/>
      <c r="N280" s="197"/>
      <c r="O280" s="197"/>
      <c r="P280" s="197"/>
      <c r="Q280" s="197"/>
      <c r="R280" s="197"/>
      <c r="S280" s="197"/>
      <c r="T280" s="198"/>
      <c r="U280" s="198"/>
      <c r="V280" s="198"/>
      <c r="W280" s="198"/>
      <c r="X280" s="198"/>
      <c r="Y280" s="198"/>
      <c r="Z280" s="198"/>
      <c r="AA280" s="198"/>
      <c r="AB280" s="198"/>
      <c r="AC280" s="198"/>
      <c r="AD280" s="198"/>
      <c r="AE280" s="198"/>
      <c r="AF280" s="198"/>
      <c r="AG280" s="198"/>
      <c r="AH280" s="198"/>
      <c r="AI280" s="198"/>
      <c r="AJ280" s="198"/>
      <c r="AK280" s="198"/>
      <c r="AL280" s="198"/>
      <c r="AM280" s="198"/>
      <c r="AN280" s="198"/>
      <c r="AO280" s="198"/>
      <c r="AP280" s="198"/>
      <c r="AQ280" s="198"/>
      <c r="AR280" s="198"/>
      <c r="AS280" s="198"/>
      <c r="AT280" s="198"/>
      <c r="AU280" s="198"/>
      <c r="AV280" s="198"/>
      <c r="AW280" s="198"/>
      <c r="AX280" s="198"/>
      <c r="AY280" s="198"/>
      <c r="AZ280" s="198"/>
      <c r="BA280" s="198"/>
      <c r="BB280" s="198"/>
      <c r="BC280" s="198"/>
      <c r="BD280" s="198"/>
      <c r="BE280" s="198"/>
      <c r="BF280" s="198"/>
      <c r="BG280" s="198"/>
      <c r="BH280" s="198"/>
      <c r="BI280" s="198"/>
      <c r="BJ280" s="198"/>
      <c r="BK280" s="198"/>
      <c r="BL280" s="198"/>
      <c r="BM280" s="198"/>
      <c r="BN280" s="198"/>
      <c r="BO280" s="198"/>
      <c r="BP280" s="198"/>
      <c r="BQ280" s="198"/>
      <c r="BR280" s="198"/>
      <c r="BS280" s="198"/>
      <c r="BT280" s="198"/>
      <c r="BU280" s="198"/>
      <c r="BV280" s="198"/>
      <c r="BW280" s="198"/>
      <c r="BX280" s="198"/>
      <c r="BY280" s="198"/>
      <c r="BZ280" s="198"/>
      <c r="CA280" s="198"/>
      <c r="CB280" s="198"/>
      <c r="CC280" s="198"/>
      <c r="CD280" s="198"/>
      <c r="CE280" s="198"/>
      <c r="CF280" s="198"/>
      <c r="CG280" s="198"/>
    </row>
    <row r="281" spans="1:85" s="199" customFormat="1" x14ac:dyDescent="0.25">
      <c r="A281" s="331"/>
      <c r="B281" s="332" t="s">
        <v>136</v>
      </c>
      <c r="C281" s="380"/>
      <c r="D281" s="381"/>
      <c r="E281" s="334"/>
      <c r="F281" s="334"/>
      <c r="G281" s="334"/>
      <c r="H281" s="334"/>
      <c r="I281" s="197"/>
      <c r="J281" s="197"/>
      <c r="K281" s="197"/>
      <c r="L281" s="197"/>
      <c r="M281" s="197"/>
      <c r="N281" s="197"/>
      <c r="O281" s="197"/>
      <c r="P281" s="197"/>
      <c r="Q281" s="197"/>
      <c r="R281" s="197"/>
      <c r="S281" s="197"/>
      <c r="T281" s="198"/>
      <c r="U281" s="198"/>
      <c r="V281" s="198"/>
      <c r="W281" s="198"/>
      <c r="X281" s="198"/>
      <c r="Y281" s="198"/>
      <c r="Z281" s="198"/>
      <c r="AA281" s="198"/>
      <c r="AB281" s="198"/>
      <c r="AC281" s="198"/>
      <c r="AD281" s="198"/>
      <c r="AE281" s="198"/>
      <c r="AF281" s="198"/>
      <c r="AG281" s="198"/>
      <c r="AH281" s="198"/>
      <c r="AI281" s="198"/>
      <c r="AJ281" s="198"/>
      <c r="AK281" s="198"/>
      <c r="AL281" s="198"/>
      <c r="AM281" s="198"/>
      <c r="AN281" s="198"/>
      <c r="AO281" s="198"/>
      <c r="AP281" s="198"/>
      <c r="AQ281" s="198"/>
      <c r="AR281" s="198"/>
      <c r="AS281" s="198"/>
      <c r="AT281" s="198"/>
      <c r="AU281" s="198"/>
      <c r="AV281" s="198"/>
      <c r="AW281" s="198"/>
      <c r="AX281" s="198"/>
      <c r="AY281" s="198"/>
      <c r="AZ281" s="198"/>
      <c r="BA281" s="198"/>
      <c r="BB281" s="198"/>
      <c r="BC281" s="198"/>
      <c r="BD281" s="198"/>
      <c r="BE281" s="198"/>
      <c r="BF281" s="198"/>
      <c r="BG281" s="198"/>
      <c r="BH281" s="198"/>
      <c r="BI281" s="198"/>
      <c r="BJ281" s="198"/>
      <c r="BK281" s="198"/>
      <c r="BL281" s="198"/>
      <c r="BM281" s="198"/>
      <c r="BN281" s="198"/>
      <c r="BO281" s="198"/>
      <c r="BP281" s="198"/>
      <c r="BQ281" s="198"/>
      <c r="BR281" s="198"/>
      <c r="BS281" s="198"/>
      <c r="BT281" s="198"/>
      <c r="BU281" s="198"/>
      <c r="BV281" s="198"/>
      <c r="BW281" s="198"/>
      <c r="BX281" s="198"/>
      <c r="BY281" s="198"/>
      <c r="BZ281" s="198"/>
      <c r="CA281" s="198"/>
      <c r="CB281" s="198"/>
      <c r="CC281" s="198"/>
      <c r="CD281" s="198"/>
      <c r="CE281" s="198"/>
      <c r="CF281" s="198"/>
      <c r="CG281" s="198"/>
    </row>
    <row r="282" spans="1:85" s="199" customFormat="1" x14ac:dyDescent="0.25">
      <c r="A282" s="331"/>
      <c r="B282" s="332" t="s">
        <v>137</v>
      </c>
      <c r="C282" s="380"/>
      <c r="D282" s="381"/>
      <c r="E282" s="334"/>
      <c r="F282" s="334"/>
      <c r="G282" s="334"/>
      <c r="H282" s="334"/>
      <c r="I282" s="197"/>
      <c r="J282" s="197"/>
      <c r="K282" s="197"/>
      <c r="L282" s="197"/>
      <c r="M282" s="197"/>
      <c r="N282" s="197"/>
      <c r="O282" s="197"/>
      <c r="P282" s="197"/>
      <c r="Q282" s="197"/>
      <c r="R282" s="197"/>
      <c r="S282" s="197"/>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198"/>
      <c r="AQ282" s="198"/>
      <c r="AR282" s="198"/>
      <c r="AS282" s="198"/>
      <c r="AT282" s="198"/>
      <c r="AU282" s="198"/>
      <c r="AV282" s="198"/>
      <c r="AW282" s="198"/>
      <c r="AX282" s="198"/>
      <c r="AY282" s="198"/>
      <c r="AZ282" s="198"/>
      <c r="BA282" s="198"/>
      <c r="BB282" s="198"/>
      <c r="BC282" s="198"/>
      <c r="BD282" s="198"/>
      <c r="BE282" s="198"/>
      <c r="BF282" s="198"/>
      <c r="BG282" s="198"/>
      <c r="BH282" s="198"/>
      <c r="BI282" s="198"/>
      <c r="BJ282" s="198"/>
      <c r="BK282" s="198"/>
      <c r="BL282" s="198"/>
      <c r="BM282" s="198"/>
      <c r="BN282" s="198"/>
      <c r="BO282" s="198"/>
      <c r="BP282" s="198"/>
      <c r="BQ282" s="198"/>
      <c r="BR282" s="198"/>
      <c r="BS282" s="198"/>
      <c r="BT282" s="198"/>
      <c r="BU282" s="198"/>
      <c r="BV282" s="198"/>
      <c r="BW282" s="198"/>
      <c r="BX282" s="198"/>
      <c r="BY282" s="198"/>
      <c r="BZ282" s="198"/>
      <c r="CA282" s="198"/>
      <c r="CB282" s="198"/>
      <c r="CC282" s="198"/>
      <c r="CD282" s="198"/>
      <c r="CE282" s="198"/>
      <c r="CF282" s="198"/>
      <c r="CG282" s="198"/>
    </row>
    <row r="283" spans="1:85" s="199" customFormat="1" ht="15.6" thickBot="1" x14ac:dyDescent="0.3">
      <c r="A283" s="580"/>
      <c r="B283" s="581" t="s">
        <v>138</v>
      </c>
      <c r="C283" s="582"/>
      <c r="D283" s="583"/>
      <c r="E283" s="584"/>
      <c r="F283" s="584"/>
      <c r="G283" s="584"/>
      <c r="H283" s="584"/>
      <c r="I283" s="197"/>
      <c r="J283" s="197"/>
      <c r="K283" s="197"/>
      <c r="L283" s="197"/>
      <c r="M283" s="197"/>
      <c r="N283" s="197"/>
      <c r="O283" s="197"/>
      <c r="P283" s="197"/>
      <c r="Q283" s="197"/>
      <c r="R283" s="197"/>
      <c r="S283" s="197"/>
      <c r="T283" s="198"/>
      <c r="U283" s="198"/>
      <c r="V283" s="198"/>
      <c r="W283" s="198"/>
      <c r="X283" s="198"/>
      <c r="Y283" s="198"/>
      <c r="Z283" s="198"/>
      <c r="AA283" s="198"/>
      <c r="AB283" s="198"/>
      <c r="AC283" s="198"/>
      <c r="AD283" s="198"/>
      <c r="AE283" s="198"/>
      <c r="AF283" s="198"/>
      <c r="AG283" s="198"/>
      <c r="AH283" s="198"/>
      <c r="AI283" s="198"/>
      <c r="AJ283" s="198"/>
      <c r="AK283" s="198"/>
      <c r="AL283" s="198"/>
      <c r="AM283" s="198"/>
      <c r="AN283" s="198"/>
      <c r="AO283" s="198"/>
      <c r="AP283" s="198"/>
      <c r="AQ283" s="198"/>
      <c r="AR283" s="198"/>
      <c r="AS283" s="198"/>
      <c r="AT283" s="198"/>
      <c r="AU283" s="198"/>
      <c r="AV283" s="198"/>
      <c r="AW283" s="198"/>
      <c r="AX283" s="198"/>
      <c r="AY283" s="198"/>
      <c r="AZ283" s="198"/>
      <c r="BA283" s="198"/>
      <c r="BB283" s="198"/>
      <c r="BC283" s="198"/>
      <c r="BD283" s="198"/>
      <c r="BE283" s="198"/>
      <c r="BF283" s="198"/>
      <c r="BG283" s="198"/>
      <c r="BH283" s="198"/>
      <c r="BI283" s="198"/>
      <c r="BJ283" s="198"/>
      <c r="BK283" s="198"/>
      <c r="BL283" s="198"/>
      <c r="BM283" s="198"/>
      <c r="BN283" s="198"/>
      <c r="BO283" s="198"/>
      <c r="BP283" s="198"/>
      <c r="BQ283" s="198"/>
      <c r="BR283" s="198"/>
      <c r="BS283" s="198"/>
      <c r="BT283" s="198"/>
      <c r="BU283" s="198"/>
      <c r="BV283" s="198"/>
      <c r="BW283" s="198"/>
      <c r="BX283" s="198"/>
      <c r="BY283" s="198"/>
      <c r="BZ283" s="198"/>
      <c r="CA283" s="198"/>
      <c r="CB283" s="198"/>
      <c r="CC283" s="198"/>
      <c r="CD283" s="198"/>
      <c r="CE283" s="198"/>
      <c r="CF283" s="198"/>
      <c r="CG283" s="198"/>
    </row>
    <row r="284" spans="1:85" s="199" customFormat="1" ht="20.25" customHeight="1" thickTop="1" thickBot="1" x14ac:dyDescent="0.3">
      <c r="A284" s="585"/>
      <c r="B284" s="586" t="s">
        <v>30</v>
      </c>
      <c r="C284" s="587"/>
      <c r="D284" s="588"/>
      <c r="E284" s="589"/>
      <c r="F284" s="589"/>
      <c r="G284" s="589"/>
      <c r="H284" s="589"/>
      <c r="I284" s="197"/>
      <c r="J284" s="197"/>
      <c r="K284" s="197"/>
      <c r="L284" s="197"/>
      <c r="M284" s="197"/>
      <c r="N284" s="197"/>
      <c r="O284" s="197"/>
      <c r="P284" s="197"/>
      <c r="Q284" s="197"/>
      <c r="R284" s="197"/>
      <c r="S284" s="197"/>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198"/>
      <c r="CF284" s="198"/>
      <c r="CG284" s="198"/>
    </row>
    <row r="285" spans="1:85" s="199" customFormat="1" ht="16.2" thickTop="1" x14ac:dyDescent="0.25">
      <c r="A285" s="590" t="s">
        <v>140</v>
      </c>
      <c r="B285" s="423"/>
      <c r="C285" s="591"/>
      <c r="D285" s="592"/>
      <c r="E285" s="593"/>
      <c r="F285" s="593"/>
      <c r="G285" s="593"/>
      <c r="H285" s="593"/>
      <c r="I285" s="197"/>
      <c r="J285" s="197"/>
      <c r="K285" s="197"/>
      <c r="L285" s="197"/>
      <c r="M285" s="197"/>
      <c r="N285" s="197"/>
      <c r="O285" s="197"/>
      <c r="P285" s="197"/>
      <c r="Q285" s="197"/>
      <c r="R285" s="197"/>
      <c r="S285" s="197"/>
      <c r="T285" s="198"/>
      <c r="U285" s="198"/>
      <c r="V285" s="198"/>
      <c r="W285" s="198"/>
      <c r="X285" s="198"/>
      <c r="Y285" s="198"/>
      <c r="Z285" s="198"/>
      <c r="AA285" s="198"/>
      <c r="AB285" s="198"/>
      <c r="AC285" s="198"/>
      <c r="AD285" s="198"/>
      <c r="AE285" s="198"/>
      <c r="AF285" s="19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c r="BV285" s="198"/>
      <c r="BW285" s="198"/>
      <c r="BX285" s="198"/>
      <c r="BY285" s="198"/>
      <c r="BZ285" s="198"/>
      <c r="CA285" s="198"/>
      <c r="CB285" s="198"/>
      <c r="CC285" s="198"/>
      <c r="CD285" s="198"/>
      <c r="CE285" s="198"/>
      <c r="CF285" s="198"/>
      <c r="CG285" s="198"/>
    </row>
    <row r="286" spans="1:85" s="199" customFormat="1" x14ac:dyDescent="0.25">
      <c r="A286" s="571"/>
      <c r="B286" s="332" t="s">
        <v>126</v>
      </c>
      <c r="C286" s="380"/>
      <c r="D286" s="381"/>
      <c r="E286" s="300"/>
      <c r="F286" s="300"/>
      <c r="G286" s="300"/>
      <c r="H286" s="300"/>
      <c r="I286" s="197"/>
      <c r="J286" s="197"/>
      <c r="K286" s="197"/>
      <c r="L286" s="197"/>
      <c r="M286" s="197"/>
      <c r="N286" s="197"/>
      <c r="O286" s="197"/>
      <c r="P286" s="197"/>
      <c r="Q286" s="197"/>
      <c r="R286" s="197"/>
      <c r="S286" s="197"/>
      <c r="T286" s="198"/>
      <c r="U286" s="198"/>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c r="BV286" s="198"/>
      <c r="BW286" s="198"/>
      <c r="BX286" s="198"/>
      <c r="BY286" s="198"/>
      <c r="BZ286" s="198"/>
      <c r="CA286" s="198"/>
      <c r="CB286" s="198"/>
      <c r="CC286" s="198"/>
      <c r="CD286" s="198"/>
      <c r="CE286" s="198"/>
      <c r="CF286" s="198"/>
      <c r="CG286" s="198"/>
    </row>
    <row r="287" spans="1:85" s="199" customFormat="1" x14ac:dyDescent="0.25">
      <c r="A287" s="571"/>
      <c r="B287" s="332" t="s">
        <v>127</v>
      </c>
      <c r="C287" s="380"/>
      <c r="D287" s="381"/>
      <c r="E287" s="300"/>
      <c r="F287" s="300"/>
      <c r="G287" s="300"/>
      <c r="H287" s="300"/>
      <c r="I287" s="197"/>
      <c r="J287" s="197"/>
      <c r="K287" s="197"/>
      <c r="L287" s="197"/>
      <c r="M287" s="197"/>
      <c r="N287" s="197"/>
      <c r="O287" s="197"/>
      <c r="P287" s="197"/>
      <c r="Q287" s="197"/>
      <c r="R287" s="197"/>
      <c r="S287" s="197"/>
      <c r="T287" s="198"/>
      <c r="U287" s="198"/>
      <c r="V287" s="198"/>
      <c r="W287" s="198"/>
      <c r="X287" s="198"/>
      <c r="Y287" s="198"/>
      <c r="Z287" s="198"/>
      <c r="AA287" s="198"/>
      <c r="AB287" s="198"/>
      <c r="AC287" s="198"/>
      <c r="AD287" s="198"/>
      <c r="AE287" s="198"/>
      <c r="AF287" s="198"/>
      <c r="AG287" s="198"/>
      <c r="AH287" s="198"/>
      <c r="AI287" s="198"/>
      <c r="AJ287" s="198"/>
      <c r="AK287" s="198"/>
      <c r="AL287" s="198"/>
      <c r="AM287" s="198"/>
      <c r="AN287" s="198"/>
      <c r="AO287" s="198"/>
      <c r="AP287" s="198"/>
      <c r="AQ287" s="198"/>
      <c r="AR287" s="198"/>
      <c r="AS287" s="198"/>
      <c r="AT287" s="198"/>
      <c r="AU287" s="198"/>
      <c r="AV287" s="198"/>
      <c r="AW287" s="198"/>
      <c r="AX287" s="198"/>
      <c r="AY287" s="198"/>
      <c r="AZ287" s="198"/>
      <c r="BA287" s="198"/>
      <c r="BB287" s="198"/>
      <c r="BC287" s="198"/>
      <c r="BD287" s="198"/>
      <c r="BE287" s="198"/>
      <c r="BF287" s="198"/>
      <c r="BG287" s="198"/>
      <c r="BH287" s="198"/>
      <c r="BI287" s="198"/>
      <c r="BJ287" s="198"/>
      <c r="BK287" s="198"/>
      <c r="BL287" s="198"/>
      <c r="BM287" s="198"/>
      <c r="BN287" s="198"/>
      <c r="BO287" s="198"/>
      <c r="BP287" s="198"/>
      <c r="BQ287" s="198"/>
      <c r="BR287" s="198"/>
      <c r="BS287" s="198"/>
      <c r="BT287" s="198"/>
      <c r="BU287" s="198"/>
      <c r="BV287" s="198"/>
      <c r="BW287" s="198"/>
      <c r="BX287" s="198"/>
      <c r="BY287" s="198"/>
      <c r="BZ287" s="198"/>
      <c r="CA287" s="198"/>
      <c r="CB287" s="198"/>
      <c r="CC287" s="198"/>
      <c r="CD287" s="198"/>
      <c r="CE287" s="198"/>
      <c r="CF287" s="198"/>
      <c r="CG287" s="198"/>
    </row>
    <row r="288" spans="1:85" s="199" customFormat="1" x14ac:dyDescent="0.25">
      <c r="A288" s="571"/>
      <c r="B288" s="332" t="s">
        <v>142</v>
      </c>
      <c r="C288" s="380"/>
      <c r="D288" s="381"/>
      <c r="E288" s="300"/>
      <c r="F288" s="300"/>
      <c r="G288" s="300"/>
      <c r="H288" s="300"/>
      <c r="I288" s="197"/>
      <c r="J288" s="197"/>
      <c r="K288" s="197"/>
      <c r="L288" s="197"/>
      <c r="M288" s="197"/>
      <c r="N288" s="197"/>
      <c r="O288" s="197"/>
      <c r="P288" s="197"/>
      <c r="Q288" s="197"/>
      <c r="R288" s="197"/>
      <c r="S288" s="197"/>
      <c r="T288" s="198"/>
      <c r="U288" s="198"/>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c r="BV288" s="198"/>
      <c r="BW288" s="198"/>
      <c r="BX288" s="198"/>
      <c r="BY288" s="198"/>
      <c r="BZ288" s="198"/>
      <c r="CA288" s="198"/>
      <c r="CB288" s="198"/>
      <c r="CC288" s="198"/>
      <c r="CD288" s="198"/>
      <c r="CE288" s="198"/>
      <c r="CF288" s="198"/>
      <c r="CG288" s="198"/>
    </row>
    <row r="289" spans="1:85" s="199" customFormat="1" x14ac:dyDescent="0.25">
      <c r="A289" s="571"/>
      <c r="B289" s="332" t="s">
        <v>128</v>
      </c>
      <c r="C289" s="380"/>
      <c r="D289" s="381"/>
      <c r="E289" s="300"/>
      <c r="F289" s="300"/>
      <c r="G289" s="300"/>
      <c r="H289" s="300"/>
      <c r="I289" s="197"/>
      <c r="J289" s="197"/>
      <c r="K289" s="197"/>
      <c r="L289" s="197"/>
      <c r="M289" s="197"/>
      <c r="N289" s="197"/>
      <c r="O289" s="197"/>
      <c r="P289" s="197"/>
      <c r="Q289" s="197"/>
      <c r="R289" s="197"/>
      <c r="S289" s="197"/>
      <c r="T289" s="198"/>
      <c r="U289" s="198"/>
      <c r="V289" s="198"/>
      <c r="W289" s="198"/>
      <c r="X289" s="198"/>
      <c r="Y289" s="198"/>
      <c r="Z289" s="198"/>
      <c r="AA289" s="198"/>
      <c r="AB289" s="198"/>
      <c r="AC289" s="198"/>
      <c r="AD289" s="198"/>
      <c r="AE289" s="198"/>
      <c r="AF289" s="198"/>
      <c r="AG289" s="198"/>
      <c r="AH289" s="198"/>
      <c r="AI289" s="198"/>
      <c r="AJ289" s="198"/>
      <c r="AK289" s="198"/>
      <c r="AL289" s="198"/>
      <c r="AM289" s="198"/>
      <c r="AN289" s="198"/>
      <c r="AO289" s="198"/>
      <c r="AP289" s="198"/>
      <c r="AQ289" s="198"/>
      <c r="AR289" s="198"/>
      <c r="AS289" s="198"/>
      <c r="AT289" s="198"/>
      <c r="AU289" s="198"/>
      <c r="AV289" s="198"/>
      <c r="AW289" s="198"/>
      <c r="AX289" s="198"/>
      <c r="AY289" s="198"/>
      <c r="AZ289" s="198"/>
      <c r="BA289" s="198"/>
      <c r="BB289" s="198"/>
      <c r="BC289" s="198"/>
      <c r="BD289" s="198"/>
      <c r="BE289" s="198"/>
      <c r="BF289" s="198"/>
      <c r="BG289" s="198"/>
      <c r="BH289" s="198"/>
      <c r="BI289" s="198"/>
      <c r="BJ289" s="198"/>
      <c r="BK289" s="198"/>
      <c r="BL289" s="198"/>
      <c r="BM289" s="198"/>
      <c r="BN289" s="198"/>
      <c r="BO289" s="198"/>
      <c r="BP289" s="198"/>
      <c r="BQ289" s="198"/>
      <c r="BR289" s="198"/>
      <c r="BS289" s="198"/>
      <c r="BT289" s="198"/>
      <c r="BU289" s="198"/>
      <c r="BV289" s="198"/>
      <c r="BW289" s="198"/>
      <c r="BX289" s="198"/>
      <c r="BY289" s="198"/>
      <c r="BZ289" s="198"/>
      <c r="CA289" s="198"/>
      <c r="CB289" s="198"/>
      <c r="CC289" s="198"/>
      <c r="CD289" s="198"/>
      <c r="CE289" s="198"/>
      <c r="CF289" s="198"/>
      <c r="CG289" s="198"/>
    </row>
    <row r="290" spans="1:85" s="199" customFormat="1" x14ac:dyDescent="0.25">
      <c r="A290" s="571"/>
      <c r="B290" s="332" t="s">
        <v>143</v>
      </c>
      <c r="C290" s="380"/>
      <c r="D290" s="381"/>
      <c r="E290" s="300"/>
      <c r="F290" s="300"/>
      <c r="G290" s="300"/>
      <c r="H290" s="300"/>
      <c r="I290" s="197"/>
      <c r="J290" s="197"/>
      <c r="K290" s="197"/>
      <c r="L290" s="197"/>
      <c r="M290" s="197"/>
      <c r="N290" s="197"/>
      <c r="O290" s="197"/>
      <c r="P290" s="197"/>
      <c r="Q290" s="197"/>
      <c r="R290" s="197"/>
      <c r="S290" s="197"/>
      <c r="T290" s="198"/>
      <c r="U290" s="198"/>
      <c r="V290" s="198"/>
      <c r="W290" s="198"/>
      <c r="X290" s="198"/>
      <c r="Y290" s="198"/>
      <c r="Z290" s="198"/>
      <c r="AA290" s="198"/>
      <c r="AB290" s="198"/>
      <c r="AC290" s="198"/>
      <c r="AD290" s="198"/>
      <c r="AE290" s="198"/>
      <c r="AF290" s="198"/>
      <c r="AG290" s="198"/>
      <c r="AH290" s="198"/>
      <c r="AI290" s="198"/>
      <c r="AJ290" s="198"/>
      <c r="AK290" s="198"/>
      <c r="AL290" s="198"/>
      <c r="AM290" s="198"/>
      <c r="AN290" s="198"/>
      <c r="AO290" s="198"/>
      <c r="AP290" s="198"/>
      <c r="AQ290" s="198"/>
      <c r="AR290" s="198"/>
      <c r="AS290" s="198"/>
      <c r="AT290" s="198"/>
      <c r="AU290" s="198"/>
      <c r="AV290" s="198"/>
      <c r="AW290" s="198"/>
      <c r="AX290" s="198"/>
      <c r="AY290" s="198"/>
      <c r="AZ290" s="198"/>
      <c r="BA290" s="198"/>
      <c r="BB290" s="198"/>
      <c r="BC290" s="198"/>
      <c r="BD290" s="198"/>
      <c r="BE290" s="198"/>
      <c r="BF290" s="198"/>
      <c r="BG290" s="198"/>
      <c r="BH290" s="198"/>
      <c r="BI290" s="198"/>
      <c r="BJ290" s="198"/>
      <c r="BK290" s="198"/>
      <c r="BL290" s="198"/>
      <c r="BM290" s="198"/>
      <c r="BN290" s="198"/>
      <c r="BO290" s="198"/>
      <c r="BP290" s="198"/>
      <c r="BQ290" s="198"/>
      <c r="BR290" s="198"/>
      <c r="BS290" s="198"/>
      <c r="BT290" s="198"/>
      <c r="BU290" s="198"/>
      <c r="BV290" s="198"/>
      <c r="BW290" s="198"/>
      <c r="BX290" s="198"/>
      <c r="BY290" s="198"/>
      <c r="BZ290" s="198"/>
      <c r="CA290" s="198"/>
      <c r="CB290" s="198"/>
      <c r="CC290" s="198"/>
      <c r="CD290" s="198"/>
      <c r="CE290" s="198"/>
      <c r="CF290" s="198"/>
      <c r="CG290" s="198"/>
    </row>
    <row r="291" spans="1:85" s="199" customFormat="1" x14ac:dyDescent="0.25">
      <c r="A291" s="571"/>
      <c r="B291" s="332" t="s">
        <v>129</v>
      </c>
      <c r="C291" s="380"/>
      <c r="D291" s="381"/>
      <c r="E291" s="300"/>
      <c r="F291" s="300"/>
      <c r="G291" s="300"/>
      <c r="H291" s="300"/>
      <c r="I291" s="197"/>
      <c r="J291" s="197"/>
      <c r="K291" s="197"/>
      <c r="L291" s="197"/>
      <c r="M291" s="197"/>
      <c r="N291" s="197"/>
      <c r="O291" s="197"/>
      <c r="P291" s="197"/>
      <c r="Q291" s="197"/>
      <c r="R291" s="197"/>
      <c r="S291" s="197"/>
      <c r="T291" s="198"/>
      <c r="U291" s="198"/>
      <c r="V291" s="198"/>
      <c r="W291" s="198"/>
      <c r="X291" s="198"/>
      <c r="Y291" s="198"/>
      <c r="Z291" s="198"/>
      <c r="AA291" s="198"/>
      <c r="AB291" s="198"/>
      <c r="AC291" s="198"/>
      <c r="AD291" s="198"/>
      <c r="AE291" s="198"/>
      <c r="AF291" s="198"/>
      <c r="AG291" s="198"/>
      <c r="AH291" s="198"/>
      <c r="AI291" s="198"/>
      <c r="AJ291" s="198"/>
      <c r="AK291" s="198"/>
      <c r="AL291" s="198"/>
      <c r="AM291" s="198"/>
      <c r="AN291" s="198"/>
      <c r="AO291" s="198"/>
      <c r="AP291" s="198"/>
      <c r="AQ291" s="198"/>
      <c r="AR291" s="198"/>
      <c r="AS291" s="198"/>
      <c r="AT291" s="198"/>
      <c r="AU291" s="198"/>
      <c r="AV291" s="198"/>
      <c r="AW291" s="198"/>
      <c r="AX291" s="198"/>
      <c r="AY291" s="198"/>
      <c r="AZ291" s="198"/>
      <c r="BA291" s="198"/>
      <c r="BB291" s="198"/>
      <c r="BC291" s="198"/>
      <c r="BD291" s="198"/>
      <c r="BE291" s="198"/>
      <c r="BF291" s="198"/>
      <c r="BG291" s="198"/>
      <c r="BH291" s="198"/>
      <c r="BI291" s="198"/>
      <c r="BJ291" s="198"/>
      <c r="BK291" s="198"/>
      <c r="BL291" s="198"/>
      <c r="BM291" s="198"/>
      <c r="BN291" s="198"/>
      <c r="BO291" s="198"/>
      <c r="BP291" s="198"/>
      <c r="BQ291" s="198"/>
      <c r="BR291" s="198"/>
      <c r="BS291" s="198"/>
      <c r="BT291" s="198"/>
      <c r="BU291" s="198"/>
      <c r="BV291" s="198"/>
      <c r="BW291" s="198"/>
      <c r="BX291" s="198"/>
      <c r="BY291" s="198"/>
      <c r="BZ291" s="198"/>
      <c r="CA291" s="198"/>
      <c r="CB291" s="198"/>
      <c r="CC291" s="198"/>
      <c r="CD291" s="198"/>
      <c r="CE291" s="198"/>
      <c r="CF291" s="198"/>
      <c r="CG291" s="198"/>
    </row>
    <row r="292" spans="1:85" s="199" customFormat="1" x14ac:dyDescent="0.25">
      <c r="A292" s="571"/>
      <c r="B292" s="332" t="s">
        <v>22</v>
      </c>
      <c r="C292" s="380"/>
      <c r="D292" s="381"/>
      <c r="E292" s="300"/>
      <c r="F292" s="300"/>
      <c r="G292" s="300"/>
      <c r="H292" s="300"/>
      <c r="I292" s="197"/>
      <c r="J292" s="197"/>
      <c r="K292" s="197"/>
      <c r="L292" s="197"/>
      <c r="M292" s="197"/>
      <c r="N292" s="197"/>
      <c r="O292" s="197"/>
      <c r="P292" s="197"/>
      <c r="Q292" s="197"/>
      <c r="R292" s="197"/>
      <c r="S292" s="197"/>
      <c r="T292" s="198"/>
      <c r="U292" s="198"/>
      <c r="V292" s="198"/>
      <c r="W292" s="198"/>
      <c r="X292" s="198"/>
      <c r="Y292" s="198"/>
      <c r="Z292" s="198"/>
      <c r="AA292" s="198"/>
      <c r="AB292" s="198"/>
      <c r="AC292" s="198"/>
      <c r="AD292" s="198"/>
      <c r="AE292" s="198"/>
      <c r="AF292" s="198"/>
      <c r="AG292" s="198"/>
      <c r="AH292" s="198"/>
      <c r="AI292" s="198"/>
      <c r="AJ292" s="198"/>
      <c r="AK292" s="198"/>
      <c r="AL292" s="198"/>
      <c r="AM292" s="198"/>
      <c r="AN292" s="198"/>
      <c r="AO292" s="198"/>
      <c r="AP292" s="198"/>
      <c r="AQ292" s="198"/>
      <c r="AR292" s="198"/>
      <c r="AS292" s="198"/>
      <c r="AT292" s="198"/>
      <c r="AU292" s="198"/>
      <c r="AV292" s="198"/>
      <c r="AW292" s="198"/>
      <c r="AX292" s="198"/>
      <c r="AY292" s="198"/>
      <c r="AZ292" s="198"/>
      <c r="BA292" s="198"/>
      <c r="BB292" s="198"/>
      <c r="BC292" s="198"/>
      <c r="BD292" s="198"/>
      <c r="BE292" s="198"/>
      <c r="BF292" s="198"/>
      <c r="BG292" s="198"/>
      <c r="BH292" s="198"/>
      <c r="BI292" s="198"/>
      <c r="BJ292" s="198"/>
      <c r="BK292" s="198"/>
      <c r="BL292" s="198"/>
      <c r="BM292" s="198"/>
      <c r="BN292" s="198"/>
      <c r="BO292" s="198"/>
      <c r="BP292" s="198"/>
      <c r="BQ292" s="198"/>
      <c r="BR292" s="198"/>
      <c r="BS292" s="198"/>
      <c r="BT292" s="198"/>
      <c r="BU292" s="198"/>
      <c r="BV292" s="198"/>
      <c r="BW292" s="198"/>
      <c r="BX292" s="198"/>
      <c r="BY292" s="198"/>
      <c r="BZ292" s="198"/>
      <c r="CA292" s="198"/>
      <c r="CB292" s="198"/>
      <c r="CC292" s="198"/>
      <c r="CD292" s="198"/>
      <c r="CE292" s="198"/>
      <c r="CF292" s="198"/>
      <c r="CG292" s="198"/>
    </row>
    <row r="293" spans="1:85" s="199" customFormat="1" x14ac:dyDescent="0.25">
      <c r="A293" s="571"/>
      <c r="B293" s="332" t="s">
        <v>138</v>
      </c>
      <c r="C293" s="380"/>
      <c r="D293" s="381"/>
      <c r="E293" s="300"/>
      <c r="F293" s="300"/>
      <c r="G293" s="300"/>
      <c r="H293" s="300"/>
      <c r="I293" s="197"/>
      <c r="J293" s="197"/>
      <c r="K293" s="197"/>
      <c r="L293" s="197"/>
      <c r="M293" s="197"/>
      <c r="N293" s="197"/>
      <c r="O293" s="197"/>
      <c r="P293" s="197"/>
      <c r="Q293" s="197"/>
      <c r="R293" s="197"/>
      <c r="S293" s="197"/>
      <c r="T293" s="198"/>
      <c r="U293" s="198"/>
      <c r="V293" s="198"/>
      <c r="W293" s="198"/>
      <c r="X293" s="198"/>
      <c r="Y293" s="198"/>
      <c r="Z293" s="198"/>
      <c r="AA293" s="198"/>
      <c r="AB293" s="198"/>
      <c r="AC293" s="198"/>
      <c r="AD293" s="198"/>
      <c r="AE293" s="198"/>
      <c r="AF293" s="198"/>
      <c r="AG293" s="198"/>
      <c r="AH293" s="198"/>
      <c r="AI293" s="198"/>
      <c r="AJ293" s="198"/>
      <c r="AK293" s="198"/>
      <c r="AL293" s="198"/>
      <c r="AM293" s="198"/>
      <c r="AN293" s="198"/>
      <c r="AO293" s="198"/>
      <c r="AP293" s="198"/>
      <c r="AQ293" s="198"/>
      <c r="AR293" s="198"/>
      <c r="AS293" s="198"/>
      <c r="AT293" s="198"/>
      <c r="AU293" s="198"/>
      <c r="AV293" s="198"/>
      <c r="AW293" s="198"/>
      <c r="AX293" s="198"/>
      <c r="AY293" s="198"/>
      <c r="AZ293" s="198"/>
      <c r="BA293" s="198"/>
      <c r="BB293" s="198"/>
      <c r="BC293" s="198"/>
      <c r="BD293" s="198"/>
      <c r="BE293" s="198"/>
      <c r="BF293" s="198"/>
      <c r="BG293" s="198"/>
      <c r="BH293" s="198"/>
      <c r="BI293" s="198"/>
      <c r="BJ293" s="198"/>
      <c r="BK293" s="198"/>
      <c r="BL293" s="198"/>
      <c r="BM293" s="198"/>
      <c r="BN293" s="198"/>
      <c r="BO293" s="198"/>
      <c r="BP293" s="198"/>
      <c r="BQ293" s="198"/>
      <c r="BR293" s="198"/>
      <c r="BS293" s="198"/>
      <c r="BT293" s="198"/>
      <c r="BU293" s="198"/>
      <c r="BV293" s="198"/>
      <c r="BW293" s="198"/>
      <c r="BX293" s="198"/>
      <c r="BY293" s="198"/>
      <c r="BZ293" s="198"/>
      <c r="CA293" s="198"/>
      <c r="CB293" s="198"/>
      <c r="CC293" s="198"/>
      <c r="CD293" s="198"/>
      <c r="CE293" s="198"/>
      <c r="CF293" s="198"/>
      <c r="CG293" s="198"/>
    </row>
    <row r="294" spans="1:85" s="199" customFormat="1" ht="15.6" x14ac:dyDescent="0.25">
      <c r="A294" s="571"/>
      <c r="B294" s="332" t="s">
        <v>30</v>
      </c>
      <c r="C294" s="594"/>
      <c r="D294" s="381"/>
      <c r="E294" s="300"/>
      <c r="F294" s="300"/>
      <c r="G294" s="300"/>
      <c r="H294" s="300"/>
      <c r="I294" s="197"/>
      <c r="J294" s="197"/>
      <c r="K294" s="197"/>
      <c r="L294" s="197"/>
      <c r="M294" s="197"/>
      <c r="N294" s="197"/>
      <c r="O294" s="197"/>
      <c r="P294" s="197"/>
      <c r="Q294" s="197"/>
      <c r="R294" s="197"/>
      <c r="S294" s="197"/>
      <c r="T294" s="198"/>
      <c r="U294" s="198"/>
      <c r="V294" s="198"/>
      <c r="W294" s="198"/>
      <c r="X294" s="198"/>
      <c r="Y294" s="198"/>
      <c r="Z294" s="198"/>
      <c r="AA294" s="198"/>
      <c r="AB294" s="198"/>
      <c r="AC294" s="198"/>
      <c r="AD294" s="198"/>
      <c r="AE294" s="198"/>
      <c r="AF294" s="198"/>
      <c r="AG294" s="198"/>
      <c r="AH294" s="198"/>
      <c r="AI294" s="198"/>
      <c r="AJ294" s="198"/>
      <c r="AK294" s="198"/>
      <c r="AL294" s="198"/>
      <c r="AM294" s="198"/>
      <c r="AN294" s="198"/>
      <c r="AO294" s="198"/>
      <c r="AP294" s="198"/>
      <c r="AQ294" s="198"/>
      <c r="AR294" s="198"/>
      <c r="AS294" s="198"/>
      <c r="AT294" s="198"/>
      <c r="AU294" s="198"/>
      <c r="AV294" s="198"/>
      <c r="AW294" s="198"/>
      <c r="AX294" s="198"/>
      <c r="AY294" s="198"/>
      <c r="AZ294" s="198"/>
      <c r="BA294" s="198"/>
      <c r="BB294" s="198"/>
      <c r="BC294" s="198"/>
      <c r="BD294" s="198"/>
      <c r="BE294" s="198"/>
      <c r="BF294" s="198"/>
      <c r="BG294" s="198"/>
      <c r="BH294" s="198"/>
      <c r="BI294" s="198"/>
      <c r="BJ294" s="198"/>
      <c r="BK294" s="198"/>
      <c r="BL294" s="198"/>
      <c r="BM294" s="198"/>
      <c r="BN294" s="198"/>
      <c r="BO294" s="198"/>
      <c r="BP294" s="198"/>
      <c r="BQ294" s="198"/>
      <c r="BR294" s="198"/>
      <c r="BS294" s="198"/>
      <c r="BT294" s="198"/>
      <c r="BU294" s="198"/>
      <c r="BV294" s="198"/>
      <c r="BW294" s="198"/>
      <c r="BX294" s="198"/>
      <c r="BY294" s="198"/>
      <c r="BZ294" s="198"/>
      <c r="CA294" s="198"/>
      <c r="CB294" s="198"/>
      <c r="CC294" s="198"/>
      <c r="CD294" s="198"/>
      <c r="CE294" s="198"/>
      <c r="CF294" s="198"/>
      <c r="CG294" s="198"/>
    </row>
    <row r="295" spans="1:85" s="199" customFormat="1" x14ac:dyDescent="0.25">
      <c r="A295" s="595"/>
      <c r="B295" s="343"/>
      <c r="C295" s="596"/>
      <c r="D295" s="597"/>
      <c r="E295" s="598"/>
      <c r="F295" s="598"/>
      <c r="G295" s="598"/>
      <c r="H295" s="598"/>
      <c r="I295" s="197"/>
      <c r="J295" s="197"/>
      <c r="K295" s="197"/>
      <c r="L295" s="197"/>
      <c r="M295" s="197"/>
      <c r="N295" s="197"/>
      <c r="O295" s="197"/>
      <c r="P295" s="197"/>
      <c r="Q295" s="197"/>
      <c r="R295" s="197"/>
      <c r="S295" s="197"/>
      <c r="T295" s="198"/>
      <c r="U295" s="198"/>
      <c r="V295" s="198"/>
      <c r="W295" s="198"/>
      <c r="X295" s="198"/>
      <c r="Y295" s="198"/>
      <c r="Z295" s="198"/>
      <c r="AA295" s="198"/>
      <c r="AB295" s="198"/>
      <c r="AC295" s="198"/>
      <c r="AD295" s="198"/>
      <c r="AE295" s="198"/>
      <c r="AF295" s="198"/>
      <c r="AG295" s="198"/>
      <c r="AH295" s="198"/>
      <c r="AI295" s="198"/>
      <c r="AJ295" s="198"/>
      <c r="AK295" s="198"/>
      <c r="AL295" s="198"/>
      <c r="AM295" s="198"/>
      <c r="AN295" s="198"/>
      <c r="AO295" s="198"/>
      <c r="AP295" s="198"/>
      <c r="AQ295" s="198"/>
      <c r="AR295" s="198"/>
      <c r="AS295" s="198"/>
      <c r="AT295" s="198"/>
      <c r="AU295" s="198"/>
      <c r="AV295" s="198"/>
      <c r="AW295" s="198"/>
      <c r="AX295" s="198"/>
      <c r="AY295" s="198"/>
      <c r="AZ295" s="198"/>
      <c r="BA295" s="198"/>
      <c r="BB295" s="198"/>
      <c r="BC295" s="198"/>
      <c r="BD295" s="198"/>
      <c r="BE295" s="198"/>
      <c r="BF295" s="198"/>
      <c r="BG295" s="198"/>
      <c r="BH295" s="198"/>
      <c r="BI295" s="198"/>
      <c r="BJ295" s="198"/>
      <c r="BK295" s="198"/>
      <c r="BL295" s="198"/>
      <c r="BM295" s="198"/>
      <c r="BN295" s="198"/>
      <c r="BO295" s="198"/>
      <c r="BP295" s="198"/>
      <c r="BQ295" s="198"/>
      <c r="BR295" s="198"/>
      <c r="BS295" s="198"/>
      <c r="BT295" s="198"/>
      <c r="BU295" s="198"/>
      <c r="BV295" s="198"/>
      <c r="BW295" s="198"/>
      <c r="BX295" s="198"/>
      <c r="BY295" s="198"/>
      <c r="BZ295" s="198"/>
      <c r="CA295" s="198"/>
      <c r="CB295" s="198"/>
      <c r="CC295" s="198"/>
      <c r="CD295" s="198"/>
      <c r="CE295" s="198"/>
      <c r="CF295" s="198"/>
      <c r="CG295" s="198"/>
    </row>
    <row r="296" spans="1:85" s="199" customFormat="1" x14ac:dyDescent="0.25">
      <c r="A296" s="203" t="s">
        <v>141</v>
      </c>
      <c r="B296" s="204"/>
      <c r="C296" s="599"/>
      <c r="D296" s="600"/>
      <c r="E296" s="601"/>
      <c r="F296" s="601"/>
      <c r="G296" s="601"/>
      <c r="H296" s="601"/>
      <c r="I296" s="197"/>
      <c r="J296" s="197"/>
      <c r="K296" s="197"/>
      <c r="L296" s="197"/>
      <c r="M296" s="197"/>
      <c r="N296" s="197"/>
      <c r="O296" s="197"/>
      <c r="P296" s="197"/>
      <c r="Q296" s="197"/>
      <c r="R296" s="197"/>
      <c r="S296" s="197"/>
      <c r="T296" s="198"/>
      <c r="U296" s="198"/>
      <c r="V296" s="198"/>
      <c r="W296" s="198"/>
      <c r="X296" s="198"/>
      <c r="Y296" s="198"/>
      <c r="Z296" s="198"/>
      <c r="AA296" s="198"/>
      <c r="AB296" s="198"/>
      <c r="AC296" s="198"/>
      <c r="AD296" s="198"/>
      <c r="AE296" s="198"/>
      <c r="AF296" s="198"/>
      <c r="AG296" s="198"/>
      <c r="AH296" s="198"/>
      <c r="AI296" s="198"/>
      <c r="AJ296" s="198"/>
      <c r="AK296" s="198"/>
      <c r="AL296" s="198"/>
      <c r="AM296" s="198"/>
      <c r="AN296" s="198"/>
      <c r="AO296" s="198"/>
      <c r="AP296" s="198"/>
      <c r="AQ296" s="198"/>
      <c r="AR296" s="198"/>
      <c r="AS296" s="198"/>
      <c r="AT296" s="198"/>
      <c r="AU296" s="198"/>
      <c r="AV296" s="198"/>
      <c r="AW296" s="198"/>
      <c r="AX296" s="198"/>
      <c r="AY296" s="198"/>
      <c r="AZ296" s="198"/>
      <c r="BA296" s="198"/>
      <c r="BB296" s="198"/>
      <c r="BC296" s="198"/>
      <c r="BD296" s="198"/>
      <c r="BE296" s="198"/>
      <c r="BF296" s="198"/>
      <c r="BG296" s="198"/>
      <c r="BH296" s="198"/>
      <c r="BI296" s="198"/>
      <c r="BJ296" s="198"/>
      <c r="BK296" s="198"/>
      <c r="BL296" s="198"/>
      <c r="BM296" s="198"/>
      <c r="BN296" s="198"/>
      <c r="BO296" s="198"/>
      <c r="BP296" s="198"/>
      <c r="BQ296" s="198"/>
      <c r="BR296" s="198"/>
      <c r="BS296" s="198"/>
      <c r="BT296" s="198"/>
      <c r="BU296" s="198"/>
      <c r="BV296" s="198"/>
      <c r="BW296" s="198"/>
      <c r="BX296" s="198"/>
      <c r="BY296" s="198"/>
      <c r="BZ296" s="198"/>
      <c r="CA296" s="198"/>
      <c r="CB296" s="198"/>
      <c r="CC296" s="198"/>
      <c r="CD296" s="198"/>
      <c r="CE296" s="198"/>
      <c r="CF296" s="198"/>
      <c r="CG296" s="198"/>
    </row>
    <row r="297" spans="1:85" s="199" customFormat="1" x14ac:dyDescent="0.25">
      <c r="A297" s="208"/>
      <c r="B297" s="209"/>
      <c r="C297" s="602"/>
      <c r="D297" s="603"/>
      <c r="E297" s="604"/>
      <c r="F297" s="604"/>
      <c r="G297" s="604"/>
      <c r="H297" s="604"/>
      <c r="I297" s="197"/>
      <c r="J297" s="197"/>
      <c r="K297" s="197"/>
      <c r="L297" s="197"/>
      <c r="M297" s="197"/>
      <c r="N297" s="197"/>
      <c r="O297" s="197"/>
      <c r="P297" s="197"/>
      <c r="Q297" s="197"/>
      <c r="R297" s="197"/>
      <c r="S297" s="197"/>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198"/>
      <c r="BZ297" s="198"/>
      <c r="CA297" s="198"/>
      <c r="CB297" s="198"/>
      <c r="CC297" s="198"/>
      <c r="CD297" s="198"/>
      <c r="CE297" s="198"/>
      <c r="CF297" s="198"/>
      <c r="CG297" s="198"/>
    </row>
    <row r="298" spans="1:85" s="199" customFormat="1" ht="15.6" x14ac:dyDescent="0.3">
      <c r="A298" s="485"/>
      <c r="B298" s="239" t="s">
        <v>160</v>
      </c>
      <c r="C298" s="486"/>
      <c r="D298" s="605"/>
      <c r="E298" s="486"/>
      <c r="F298" s="267"/>
      <c r="G298" s="267"/>
      <c r="H298" s="267"/>
      <c r="I298" s="197"/>
      <c r="J298" s="197"/>
      <c r="K298" s="197"/>
      <c r="L298" s="197"/>
      <c r="M298" s="197"/>
      <c r="N298" s="197"/>
      <c r="O298" s="197"/>
      <c r="P298" s="197"/>
      <c r="Q298" s="197"/>
      <c r="R298" s="197"/>
      <c r="S298" s="197"/>
      <c r="T298" s="198"/>
      <c r="U298" s="198"/>
      <c r="V298" s="198"/>
      <c r="W298" s="198"/>
      <c r="X298" s="198"/>
      <c r="Y298" s="198"/>
      <c r="Z298" s="198"/>
      <c r="AA298" s="198"/>
      <c r="AB298" s="198"/>
      <c r="AC298" s="198"/>
      <c r="AD298" s="198"/>
      <c r="AE298" s="198"/>
      <c r="AF298" s="198"/>
      <c r="AG298" s="198"/>
      <c r="AH298" s="198"/>
      <c r="AI298" s="198"/>
      <c r="AJ298" s="198"/>
      <c r="AK298" s="198"/>
      <c r="AL298" s="198"/>
      <c r="AM298" s="198"/>
      <c r="AN298" s="198"/>
      <c r="AO298" s="198"/>
      <c r="AP298" s="198"/>
      <c r="AQ298" s="198"/>
      <c r="AR298" s="198"/>
      <c r="AS298" s="198"/>
      <c r="AT298" s="198"/>
      <c r="AU298" s="198"/>
      <c r="AV298" s="198"/>
      <c r="AW298" s="198"/>
      <c r="AX298" s="198"/>
      <c r="AY298" s="198"/>
      <c r="AZ298" s="198"/>
      <c r="BA298" s="198"/>
      <c r="BB298" s="198"/>
      <c r="BC298" s="198"/>
      <c r="BD298" s="198"/>
      <c r="BE298" s="198"/>
      <c r="BF298" s="198"/>
      <c r="BG298" s="198"/>
      <c r="BH298" s="198"/>
      <c r="BI298" s="198"/>
      <c r="BJ298" s="198"/>
      <c r="BK298" s="198"/>
      <c r="BL298" s="198"/>
      <c r="BM298" s="198"/>
      <c r="BN298" s="198"/>
      <c r="BO298" s="198"/>
      <c r="BP298" s="198"/>
      <c r="BQ298" s="198"/>
      <c r="BR298" s="198"/>
      <c r="BS298" s="198"/>
      <c r="BT298" s="198"/>
      <c r="BU298" s="198"/>
      <c r="BV298" s="198"/>
      <c r="BW298" s="198"/>
      <c r="BX298" s="198"/>
      <c r="BY298" s="198"/>
      <c r="BZ298" s="198"/>
      <c r="CA298" s="198"/>
      <c r="CB298" s="198"/>
      <c r="CC298" s="198"/>
      <c r="CD298" s="198"/>
      <c r="CE298" s="198"/>
      <c r="CF298" s="198"/>
      <c r="CG298" s="198"/>
    </row>
    <row r="299" spans="1:85" s="199" customFormat="1" ht="15.6" x14ac:dyDescent="0.3">
      <c r="A299" s="148" t="s">
        <v>53</v>
      </c>
      <c r="B299" s="148"/>
      <c r="C299" s="606" t="s">
        <v>38</v>
      </c>
      <c r="D299" s="607"/>
      <c r="E299" s="607"/>
      <c r="F299" s="607"/>
      <c r="G299" s="608"/>
      <c r="H299" s="608"/>
      <c r="I299" s="197"/>
      <c r="J299" s="197"/>
      <c r="K299" s="197"/>
      <c r="L299" s="197"/>
      <c r="M299" s="197"/>
      <c r="N299" s="197"/>
      <c r="O299" s="197"/>
      <c r="P299" s="197"/>
      <c r="Q299" s="197"/>
      <c r="R299" s="197"/>
      <c r="S299" s="197"/>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c r="BV299" s="198"/>
      <c r="BW299" s="198"/>
      <c r="BX299" s="198"/>
      <c r="BY299" s="198"/>
      <c r="BZ299" s="198"/>
      <c r="CA299" s="198"/>
      <c r="CB299" s="198"/>
      <c r="CC299" s="198"/>
      <c r="CD299" s="198"/>
      <c r="CE299" s="198"/>
      <c r="CF299" s="198"/>
      <c r="CG299" s="198"/>
    </row>
    <row r="300" spans="1:85" s="199" customFormat="1" x14ac:dyDescent="0.25">
      <c r="A300" s="876" t="s">
        <v>375</v>
      </c>
      <c r="B300" s="152"/>
      <c r="C300" s="153"/>
      <c r="D300" s="609"/>
      <c r="E300" s="609"/>
      <c r="F300" s="610"/>
      <c r="G300" s="610"/>
      <c r="H300" s="611"/>
      <c r="I300" s="197"/>
      <c r="J300" s="197"/>
      <c r="K300" s="197"/>
      <c r="L300" s="197"/>
      <c r="M300" s="197"/>
      <c r="N300" s="197"/>
      <c r="O300" s="197"/>
      <c r="P300" s="197"/>
      <c r="Q300" s="197"/>
      <c r="R300" s="197"/>
      <c r="S300" s="197"/>
      <c r="T300" s="198"/>
      <c r="U300" s="198"/>
      <c r="V300" s="198"/>
      <c r="W300" s="198"/>
      <c r="X300" s="198"/>
      <c r="Y300" s="198"/>
      <c r="Z300" s="198"/>
      <c r="AA300" s="198"/>
      <c r="AB300" s="198"/>
      <c r="AC300" s="198"/>
      <c r="AD300" s="198"/>
      <c r="AE300" s="198"/>
      <c r="AF300" s="198"/>
      <c r="AG300" s="198"/>
      <c r="AH300" s="198"/>
      <c r="AI300" s="198"/>
      <c r="AJ300" s="198"/>
      <c r="AK300" s="198"/>
      <c r="AL300" s="198"/>
      <c r="AM300" s="198"/>
      <c r="AN300" s="198"/>
      <c r="AO300" s="198"/>
      <c r="AP300" s="198"/>
      <c r="AQ300" s="198"/>
      <c r="AR300" s="198"/>
      <c r="AS300" s="198"/>
      <c r="AT300" s="198"/>
      <c r="AU300" s="198"/>
      <c r="AV300" s="198"/>
      <c r="AW300" s="198"/>
      <c r="AX300" s="198"/>
      <c r="AY300" s="198"/>
      <c r="AZ300" s="198"/>
      <c r="BA300" s="198"/>
      <c r="BB300" s="198"/>
      <c r="BC300" s="198"/>
      <c r="BD300" s="198"/>
      <c r="BE300" s="198"/>
      <c r="BF300" s="198"/>
      <c r="BG300" s="198"/>
      <c r="BH300" s="198"/>
      <c r="BI300" s="198"/>
      <c r="BJ300" s="198"/>
      <c r="BK300" s="198"/>
      <c r="BL300" s="198"/>
      <c r="BM300" s="198"/>
      <c r="BN300" s="198"/>
      <c r="BO300" s="198"/>
      <c r="BP300" s="198"/>
      <c r="BQ300" s="198"/>
      <c r="BR300" s="198"/>
      <c r="BS300" s="198"/>
      <c r="BT300" s="198"/>
      <c r="BU300" s="198"/>
      <c r="BV300" s="198"/>
      <c r="BW300" s="198"/>
      <c r="BX300" s="198"/>
      <c r="BY300" s="198"/>
      <c r="BZ300" s="198"/>
      <c r="CA300" s="198"/>
      <c r="CB300" s="198"/>
      <c r="CC300" s="198"/>
      <c r="CD300" s="198"/>
      <c r="CE300" s="198"/>
      <c r="CF300" s="198"/>
      <c r="CG300" s="198"/>
    </row>
    <row r="301" spans="1:85" s="199" customFormat="1" x14ac:dyDescent="0.25">
      <c r="A301" s="156" t="s">
        <v>1</v>
      </c>
      <c r="B301" s="157"/>
      <c r="C301" s="158"/>
      <c r="D301" s="612"/>
      <c r="E301" s="612"/>
      <c r="F301" s="613"/>
      <c r="G301" s="613"/>
      <c r="H301" s="614"/>
      <c r="I301" s="197"/>
      <c r="J301" s="197"/>
      <c r="K301" s="197"/>
      <c r="L301" s="197"/>
      <c r="M301" s="197"/>
      <c r="N301" s="197"/>
      <c r="O301" s="197"/>
      <c r="P301" s="197"/>
      <c r="Q301" s="197"/>
      <c r="R301" s="197"/>
      <c r="S301" s="197"/>
      <c r="T301" s="198"/>
      <c r="U301" s="198"/>
      <c r="V301" s="198"/>
      <c r="W301" s="198"/>
      <c r="X301" s="198"/>
      <c r="Y301" s="198"/>
      <c r="Z301" s="198"/>
      <c r="AA301" s="198"/>
      <c r="AB301" s="198"/>
      <c r="AC301" s="198"/>
      <c r="AD301" s="198"/>
      <c r="AE301" s="198"/>
      <c r="AF301" s="198"/>
      <c r="AG301" s="198"/>
      <c r="AH301" s="198"/>
      <c r="AI301" s="198"/>
      <c r="AJ301" s="198"/>
      <c r="AK301" s="198"/>
      <c r="AL301" s="198"/>
      <c r="AM301" s="198"/>
      <c r="AN301" s="198"/>
      <c r="AO301" s="198"/>
      <c r="AP301" s="198"/>
      <c r="AQ301" s="198"/>
      <c r="AR301" s="198"/>
      <c r="AS301" s="198"/>
      <c r="AT301" s="198"/>
      <c r="AU301" s="198"/>
      <c r="AV301" s="198"/>
      <c r="AW301" s="198"/>
      <c r="AX301" s="198"/>
      <c r="AY301" s="198"/>
      <c r="AZ301" s="198"/>
      <c r="BA301" s="198"/>
      <c r="BB301" s="198"/>
      <c r="BC301" s="198"/>
      <c r="BD301" s="198"/>
      <c r="BE301" s="198"/>
      <c r="BF301" s="198"/>
      <c r="BG301" s="198"/>
      <c r="BH301" s="198"/>
      <c r="BI301" s="198"/>
      <c r="BJ301" s="198"/>
      <c r="BK301" s="198"/>
      <c r="BL301" s="198"/>
      <c r="BM301" s="198"/>
      <c r="BN301" s="198"/>
      <c r="BO301" s="198"/>
      <c r="BP301" s="198"/>
      <c r="BQ301" s="198"/>
      <c r="BR301" s="198"/>
      <c r="BS301" s="198"/>
      <c r="BT301" s="198"/>
      <c r="BU301" s="198"/>
      <c r="BV301" s="198"/>
      <c r="BW301" s="198"/>
      <c r="BX301" s="198"/>
      <c r="BY301" s="198"/>
      <c r="BZ301" s="198"/>
      <c r="CA301" s="198"/>
      <c r="CB301" s="198"/>
      <c r="CC301" s="198"/>
      <c r="CD301" s="198"/>
      <c r="CE301" s="198"/>
      <c r="CF301" s="198"/>
      <c r="CG301" s="198"/>
    </row>
    <row r="302" spans="1:85" s="199" customFormat="1" ht="15" customHeight="1" x14ac:dyDescent="0.25">
      <c r="A302" s="156" t="s">
        <v>2</v>
      </c>
      <c r="B302" s="157"/>
      <c r="C302" s="158"/>
      <c r="D302" s="612"/>
      <c r="E302" s="612"/>
      <c r="F302" s="613"/>
      <c r="G302" s="613"/>
      <c r="H302" s="614"/>
      <c r="I302" s="197"/>
      <c r="J302" s="197"/>
      <c r="K302" s="197"/>
      <c r="L302" s="197"/>
      <c r="M302" s="197"/>
      <c r="N302" s="197"/>
      <c r="O302" s="197"/>
      <c r="P302" s="197"/>
      <c r="Q302" s="197"/>
      <c r="R302" s="197"/>
      <c r="S302" s="197"/>
      <c r="T302" s="198"/>
      <c r="U302" s="198"/>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198"/>
      <c r="AQ302" s="198"/>
      <c r="AR302" s="198"/>
      <c r="AS302" s="198"/>
      <c r="AT302" s="198"/>
      <c r="AU302" s="198"/>
      <c r="AV302" s="198"/>
      <c r="AW302" s="198"/>
      <c r="AX302" s="198"/>
      <c r="AY302" s="198"/>
      <c r="AZ302" s="198"/>
      <c r="BA302" s="198"/>
      <c r="BB302" s="198"/>
      <c r="BC302" s="198"/>
      <c r="BD302" s="198"/>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row>
    <row r="303" spans="1:85" s="199" customFormat="1" ht="15" customHeight="1" x14ac:dyDescent="0.25">
      <c r="A303" s="161"/>
      <c r="B303" s="162"/>
      <c r="C303" s="163"/>
      <c r="D303" s="615"/>
      <c r="E303" s="615"/>
      <c r="F303" s="616"/>
      <c r="G303" s="616"/>
      <c r="H303" s="617"/>
      <c r="I303" s="197"/>
      <c r="J303" s="197"/>
      <c r="K303" s="197"/>
      <c r="L303" s="197"/>
      <c r="M303" s="197"/>
      <c r="N303" s="197"/>
      <c r="O303" s="197"/>
      <c r="P303" s="197"/>
      <c r="Q303" s="197"/>
      <c r="R303" s="197"/>
      <c r="S303" s="197"/>
      <c r="T303" s="198"/>
      <c r="U303" s="198"/>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198"/>
      <c r="AQ303" s="198"/>
      <c r="AR303" s="198"/>
      <c r="AS303" s="198"/>
      <c r="AT303" s="198"/>
      <c r="AU303" s="198"/>
      <c r="AV303" s="198"/>
      <c r="AW303" s="198"/>
      <c r="AX303" s="198"/>
      <c r="AY303" s="198"/>
      <c r="AZ303" s="198"/>
      <c r="BA303" s="198"/>
      <c r="BB303" s="198"/>
      <c r="BC303" s="198"/>
      <c r="BD303" s="198"/>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row>
    <row r="304" spans="1:85" s="199" customFormat="1" ht="15.6" x14ac:dyDescent="0.3">
      <c r="A304" s="618" t="s">
        <v>364</v>
      </c>
      <c r="B304" s="619"/>
      <c r="C304" s="620"/>
      <c r="D304" s="621"/>
      <c r="E304" s="621"/>
      <c r="F304" s="621"/>
      <c r="G304" s="621"/>
      <c r="H304" s="621"/>
      <c r="I304" s="197"/>
      <c r="J304" s="197"/>
      <c r="K304" s="197"/>
      <c r="L304" s="197"/>
      <c r="M304" s="197"/>
      <c r="N304" s="197"/>
      <c r="O304" s="197"/>
      <c r="P304" s="197"/>
      <c r="Q304" s="197"/>
      <c r="R304" s="197"/>
      <c r="S304" s="197"/>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198"/>
      <c r="AQ304" s="198"/>
      <c r="AR304" s="198"/>
      <c r="AS304" s="198"/>
      <c r="AT304" s="198"/>
      <c r="AU304" s="198"/>
      <c r="AV304" s="198"/>
      <c r="AW304" s="198"/>
      <c r="AX304" s="198"/>
      <c r="AY304" s="198"/>
      <c r="AZ304" s="198"/>
      <c r="BA304" s="198"/>
      <c r="BB304" s="198"/>
      <c r="BC304" s="198"/>
      <c r="BD304" s="198"/>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row>
    <row r="305" spans="1:85" s="199" customFormat="1" x14ac:dyDescent="0.25">
      <c r="A305" s="169"/>
      <c r="B305" s="190" t="s">
        <v>54</v>
      </c>
      <c r="C305" s="243"/>
      <c r="D305" s="622"/>
      <c r="E305" s="622"/>
      <c r="F305" s="622"/>
      <c r="G305" s="622"/>
      <c r="H305" s="622"/>
      <c r="I305" s="197"/>
      <c r="J305" s="197"/>
      <c r="K305" s="197"/>
      <c r="L305" s="197"/>
      <c r="M305" s="197"/>
      <c r="N305" s="197"/>
      <c r="O305" s="197"/>
      <c r="P305" s="197"/>
      <c r="Q305" s="197"/>
      <c r="R305" s="197"/>
      <c r="S305" s="197"/>
      <c r="T305" s="198"/>
      <c r="U305" s="198"/>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198"/>
      <c r="AQ305" s="198"/>
      <c r="AR305" s="198"/>
      <c r="AS305" s="198"/>
      <c r="AT305" s="198"/>
      <c r="AU305" s="198"/>
      <c r="AV305" s="198"/>
      <c r="AW305" s="198"/>
      <c r="AX305" s="198"/>
      <c r="AY305" s="198"/>
      <c r="AZ305" s="198"/>
      <c r="BA305" s="198"/>
      <c r="BB305" s="198"/>
      <c r="BC305" s="198"/>
      <c r="BD305" s="198"/>
      <c r="BE305" s="198"/>
      <c r="BF305" s="198"/>
      <c r="BG305" s="198"/>
      <c r="BH305" s="198"/>
      <c r="BI305" s="198"/>
      <c r="BJ305" s="198"/>
      <c r="BK305" s="198"/>
      <c r="BL305" s="198"/>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row>
    <row r="306" spans="1:85" s="199" customFormat="1" x14ac:dyDescent="0.25">
      <c r="A306" s="169"/>
      <c r="B306" s="190" t="s">
        <v>236</v>
      </c>
      <c r="C306" s="243"/>
      <c r="D306" s="622"/>
      <c r="E306" s="622"/>
      <c r="F306" s="622"/>
      <c r="G306" s="622"/>
      <c r="H306" s="622"/>
      <c r="I306" s="197"/>
      <c r="J306" s="197"/>
      <c r="K306" s="197"/>
      <c r="L306" s="197"/>
      <c r="M306" s="197"/>
      <c r="N306" s="197"/>
      <c r="O306" s="197"/>
      <c r="P306" s="197"/>
      <c r="Q306" s="197"/>
      <c r="R306" s="197"/>
      <c r="S306" s="197"/>
      <c r="T306" s="198"/>
      <c r="U306" s="198"/>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198"/>
      <c r="AQ306" s="198"/>
      <c r="AR306" s="198"/>
      <c r="AS306" s="198"/>
      <c r="AT306" s="198"/>
      <c r="AU306" s="198"/>
      <c r="AV306" s="198"/>
      <c r="AW306" s="198"/>
      <c r="AX306" s="198"/>
      <c r="AY306" s="198"/>
      <c r="AZ306" s="198"/>
      <c r="BA306" s="198"/>
      <c r="BB306" s="198"/>
      <c r="BC306" s="198"/>
      <c r="BD306" s="198"/>
      <c r="BE306" s="198"/>
      <c r="BF306" s="198"/>
      <c r="BG306" s="198"/>
      <c r="BH306" s="198"/>
      <c r="BI306" s="198"/>
      <c r="BJ306" s="198"/>
      <c r="BK306" s="198"/>
      <c r="BL306" s="198"/>
      <c r="BM306" s="198"/>
      <c r="BN306" s="198"/>
      <c r="BO306" s="198"/>
      <c r="BP306" s="198"/>
      <c r="BQ306" s="198"/>
      <c r="BR306" s="198"/>
      <c r="BS306" s="198"/>
      <c r="BT306" s="198"/>
      <c r="BU306" s="198"/>
      <c r="BV306" s="198"/>
      <c r="BW306" s="198"/>
      <c r="BX306" s="198"/>
      <c r="BY306" s="198"/>
      <c r="BZ306" s="198"/>
      <c r="CA306" s="198"/>
      <c r="CB306" s="198"/>
      <c r="CC306" s="198"/>
      <c r="CD306" s="198"/>
      <c r="CE306" s="198"/>
      <c r="CF306" s="198"/>
      <c r="CG306" s="198"/>
    </row>
    <row r="307" spans="1:85" s="199" customFormat="1" x14ac:dyDescent="0.25">
      <c r="A307" s="179"/>
      <c r="B307" s="180" t="s">
        <v>22</v>
      </c>
      <c r="C307" s="805"/>
      <c r="D307" s="667"/>
      <c r="E307" s="667"/>
      <c r="F307" s="667"/>
      <c r="G307" s="667"/>
      <c r="H307" s="667"/>
      <c r="I307" s="197"/>
      <c r="J307" s="197"/>
      <c r="K307" s="197"/>
      <c r="L307" s="197"/>
      <c r="M307" s="197"/>
      <c r="N307" s="197"/>
      <c r="O307" s="197"/>
      <c r="P307" s="197"/>
      <c r="Q307" s="197"/>
      <c r="R307" s="197"/>
      <c r="S307" s="197"/>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8"/>
      <c r="AY307" s="198"/>
      <c r="AZ307" s="198"/>
      <c r="BA307" s="198"/>
      <c r="BB307" s="198"/>
      <c r="BC307" s="198"/>
      <c r="BD307" s="198"/>
      <c r="BE307" s="198"/>
      <c r="BF307" s="198"/>
      <c r="BG307" s="198"/>
      <c r="BH307" s="198"/>
      <c r="BI307" s="198"/>
      <c r="BJ307" s="198"/>
      <c r="BK307" s="198"/>
      <c r="BL307" s="198"/>
      <c r="BM307" s="198"/>
      <c r="BN307" s="198"/>
      <c r="BO307" s="198"/>
      <c r="BP307" s="198"/>
      <c r="BQ307" s="198"/>
      <c r="BR307" s="198"/>
      <c r="BS307" s="198"/>
      <c r="BT307" s="198"/>
      <c r="BU307" s="198"/>
      <c r="BV307" s="198"/>
      <c r="BW307" s="198"/>
      <c r="BX307" s="198"/>
      <c r="BY307" s="198"/>
      <c r="BZ307" s="198"/>
      <c r="CA307" s="198"/>
      <c r="CB307" s="198"/>
      <c r="CC307" s="198"/>
      <c r="CD307" s="198"/>
      <c r="CE307" s="198"/>
      <c r="CF307" s="198"/>
      <c r="CG307" s="198"/>
    </row>
    <row r="308" spans="1:85" s="199" customFormat="1" ht="15.6" x14ac:dyDescent="0.3">
      <c r="A308" s="618" t="s">
        <v>325</v>
      </c>
      <c r="B308" s="619"/>
      <c r="C308" s="620"/>
      <c r="D308" s="621"/>
      <c r="E308" s="621"/>
      <c r="F308" s="621"/>
      <c r="G308" s="621"/>
      <c r="H308" s="621"/>
      <c r="I308" s="197"/>
      <c r="J308" s="197"/>
      <c r="K308" s="197"/>
      <c r="L308" s="197"/>
      <c r="M308" s="197"/>
      <c r="N308" s="197"/>
      <c r="O308" s="197"/>
      <c r="P308" s="197"/>
      <c r="Q308" s="197"/>
      <c r="R308" s="197"/>
      <c r="S308" s="197"/>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8"/>
      <c r="AY308" s="198"/>
      <c r="AZ308" s="198"/>
      <c r="BA308" s="198"/>
      <c r="BB308" s="198"/>
      <c r="BC308" s="198"/>
      <c r="BD308" s="198"/>
      <c r="BE308" s="198"/>
      <c r="BF308" s="198"/>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row>
    <row r="309" spans="1:85" s="199" customFormat="1" x14ac:dyDescent="0.25">
      <c r="A309" s="169"/>
      <c r="B309" s="190" t="s">
        <v>54</v>
      </c>
      <c r="C309" s="243"/>
      <c r="D309" s="622"/>
      <c r="E309" s="622"/>
      <c r="F309" s="622"/>
      <c r="G309" s="622"/>
      <c r="H309" s="622"/>
      <c r="I309" s="197"/>
      <c r="J309" s="197"/>
      <c r="K309" s="197"/>
      <c r="L309" s="197"/>
      <c r="M309" s="197"/>
      <c r="N309" s="197"/>
      <c r="O309" s="197"/>
      <c r="P309" s="197"/>
      <c r="Q309" s="197"/>
      <c r="R309" s="197"/>
      <c r="S309" s="197"/>
      <c r="T309" s="198"/>
      <c r="U309" s="198"/>
      <c r="V309" s="198"/>
      <c r="W309" s="198"/>
      <c r="X309" s="198"/>
      <c r="Y309" s="198"/>
      <c r="Z309" s="198"/>
      <c r="AA309" s="198"/>
      <c r="AB309" s="198"/>
      <c r="AC309" s="198"/>
      <c r="AD309" s="198"/>
      <c r="AE309" s="198"/>
      <c r="AF309" s="198"/>
      <c r="AG309" s="198"/>
      <c r="AH309" s="198"/>
      <c r="AI309" s="198"/>
      <c r="AJ309" s="198"/>
      <c r="AK309" s="198"/>
      <c r="AL309" s="198"/>
      <c r="AM309" s="198"/>
      <c r="AN309" s="198"/>
      <c r="AO309" s="198"/>
      <c r="AP309" s="198"/>
      <c r="AQ309" s="198"/>
      <c r="AR309" s="198"/>
      <c r="AS309" s="198"/>
      <c r="AT309" s="198"/>
      <c r="AU309" s="198"/>
      <c r="AV309" s="198"/>
      <c r="AW309" s="198"/>
      <c r="AX309" s="198"/>
      <c r="AY309" s="198"/>
      <c r="AZ309" s="198"/>
      <c r="BA309" s="198"/>
      <c r="BB309" s="198"/>
      <c r="BC309" s="198"/>
      <c r="BD309" s="198"/>
      <c r="BE309" s="198"/>
      <c r="BF309" s="198"/>
      <c r="BG309" s="198"/>
      <c r="BH309" s="198"/>
      <c r="BI309" s="198"/>
      <c r="BJ309" s="198"/>
      <c r="BK309" s="198"/>
      <c r="BL309" s="198"/>
      <c r="BM309" s="198"/>
      <c r="BN309" s="198"/>
      <c r="BO309" s="198"/>
      <c r="BP309" s="198"/>
      <c r="BQ309" s="198"/>
      <c r="BR309" s="198"/>
      <c r="BS309" s="198"/>
      <c r="BT309" s="198"/>
      <c r="BU309" s="198"/>
      <c r="BV309" s="198"/>
      <c r="BW309" s="198"/>
      <c r="BX309" s="198"/>
      <c r="BY309" s="198"/>
      <c r="BZ309" s="198"/>
      <c r="CA309" s="198"/>
      <c r="CB309" s="198"/>
      <c r="CC309" s="198"/>
      <c r="CD309" s="198"/>
      <c r="CE309" s="198"/>
      <c r="CF309" s="198"/>
      <c r="CG309" s="198"/>
    </row>
    <row r="310" spans="1:85" s="199" customFormat="1" x14ac:dyDescent="0.25">
      <c r="A310" s="169"/>
      <c r="B310" s="190" t="s">
        <v>236</v>
      </c>
      <c r="C310" s="243"/>
      <c r="D310" s="622"/>
      <c r="E310" s="622"/>
      <c r="F310" s="622"/>
      <c r="G310" s="622"/>
      <c r="H310" s="622"/>
      <c r="I310" s="197"/>
      <c r="J310" s="197"/>
      <c r="K310" s="197"/>
      <c r="L310" s="197"/>
      <c r="M310" s="197"/>
      <c r="N310" s="197"/>
      <c r="O310" s="197"/>
      <c r="P310" s="197"/>
      <c r="Q310" s="197"/>
      <c r="R310" s="197"/>
      <c r="S310" s="197"/>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c r="BV310" s="198"/>
      <c r="BW310" s="198"/>
      <c r="BX310" s="198"/>
      <c r="BY310" s="198"/>
      <c r="BZ310" s="198"/>
      <c r="CA310" s="198"/>
      <c r="CB310" s="198"/>
      <c r="CC310" s="198"/>
      <c r="CD310" s="198"/>
      <c r="CE310" s="198"/>
      <c r="CF310" s="198"/>
      <c r="CG310" s="198"/>
    </row>
    <row r="311" spans="1:85" s="199" customFormat="1" x14ac:dyDescent="0.25">
      <c r="A311" s="179"/>
      <c r="B311" s="180" t="s">
        <v>22</v>
      </c>
      <c r="C311" s="805"/>
      <c r="D311" s="667"/>
      <c r="E311" s="667"/>
      <c r="F311" s="667"/>
      <c r="G311" s="667"/>
      <c r="H311" s="667"/>
      <c r="I311" s="197"/>
      <c r="J311" s="197"/>
      <c r="K311" s="197"/>
      <c r="L311" s="197"/>
      <c r="M311" s="197"/>
      <c r="N311" s="197"/>
      <c r="O311" s="197"/>
      <c r="P311" s="197"/>
      <c r="Q311" s="197"/>
      <c r="R311" s="197"/>
      <c r="S311" s="197"/>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8"/>
      <c r="AY311" s="198"/>
      <c r="AZ311" s="198"/>
      <c r="BA311" s="198"/>
      <c r="BB311" s="198"/>
      <c r="BC311" s="198"/>
      <c r="BD311" s="198"/>
      <c r="BE311" s="198"/>
      <c r="BF311" s="198"/>
      <c r="BG311" s="198"/>
      <c r="BH311" s="198"/>
      <c r="BI311" s="198"/>
      <c r="BJ311" s="198"/>
      <c r="BK311" s="198"/>
      <c r="BL311" s="198"/>
      <c r="BM311" s="198"/>
      <c r="BN311" s="198"/>
      <c r="BO311" s="198"/>
      <c r="BP311" s="198"/>
      <c r="BQ311" s="198"/>
      <c r="BR311" s="198"/>
      <c r="BS311" s="198"/>
      <c r="BT311" s="198"/>
      <c r="BU311" s="198"/>
      <c r="BV311" s="198"/>
      <c r="BW311" s="198"/>
      <c r="BX311" s="198"/>
      <c r="BY311" s="198"/>
      <c r="BZ311" s="198"/>
      <c r="CA311" s="198"/>
      <c r="CB311" s="198"/>
      <c r="CC311" s="198"/>
      <c r="CD311" s="198"/>
      <c r="CE311" s="198"/>
      <c r="CF311" s="198"/>
      <c r="CG311" s="198"/>
    </row>
    <row r="312" spans="1:85" s="199" customFormat="1" ht="15.6" x14ac:dyDescent="0.3">
      <c r="A312" s="618" t="s">
        <v>84</v>
      </c>
      <c r="B312" s="619"/>
      <c r="C312" s="620"/>
      <c r="D312" s="621"/>
      <c r="E312" s="621"/>
      <c r="F312" s="621"/>
      <c r="G312" s="621"/>
      <c r="H312" s="621"/>
      <c r="I312" s="197"/>
      <c r="J312" s="197"/>
      <c r="K312" s="197"/>
      <c r="L312" s="197"/>
      <c r="M312" s="197"/>
      <c r="N312" s="197"/>
      <c r="O312" s="197"/>
      <c r="P312" s="197"/>
      <c r="Q312" s="197"/>
      <c r="R312" s="197"/>
      <c r="S312" s="197"/>
      <c r="T312" s="198"/>
      <c r="U312" s="198"/>
      <c r="V312" s="198"/>
      <c r="W312" s="198"/>
      <c r="X312" s="198"/>
      <c r="Y312" s="198"/>
      <c r="Z312" s="198"/>
      <c r="AA312" s="198"/>
      <c r="AB312" s="198"/>
      <c r="AC312" s="198"/>
      <c r="AD312" s="198"/>
      <c r="AE312" s="198"/>
      <c r="AF312" s="198"/>
      <c r="AG312" s="198"/>
      <c r="AH312" s="198"/>
      <c r="AI312" s="198"/>
      <c r="AJ312" s="198"/>
      <c r="AK312" s="198"/>
      <c r="AL312" s="198"/>
      <c r="AM312" s="198"/>
      <c r="AN312" s="198"/>
      <c r="AO312" s="198"/>
      <c r="AP312" s="198"/>
      <c r="AQ312" s="198"/>
      <c r="AR312" s="198"/>
      <c r="AS312" s="198"/>
      <c r="AT312" s="198"/>
      <c r="AU312" s="198"/>
      <c r="AV312" s="198"/>
      <c r="AW312" s="198"/>
      <c r="AX312" s="198"/>
      <c r="AY312" s="198"/>
      <c r="AZ312" s="198"/>
      <c r="BA312" s="198"/>
      <c r="BB312" s="198"/>
      <c r="BC312" s="198"/>
      <c r="BD312" s="198"/>
      <c r="BE312" s="198"/>
      <c r="BF312" s="198"/>
      <c r="BG312" s="198"/>
      <c r="BH312" s="198"/>
      <c r="BI312" s="198"/>
      <c r="BJ312" s="198"/>
      <c r="BK312" s="198"/>
      <c r="BL312" s="198"/>
      <c r="BM312" s="198"/>
      <c r="BN312" s="198"/>
      <c r="BO312" s="198"/>
      <c r="BP312" s="198"/>
      <c r="BQ312" s="198"/>
      <c r="BR312" s="198"/>
      <c r="BS312" s="198"/>
      <c r="BT312" s="198"/>
      <c r="BU312" s="198"/>
      <c r="BV312" s="198"/>
      <c r="BW312" s="198"/>
      <c r="BX312" s="198"/>
      <c r="BY312" s="198"/>
      <c r="BZ312" s="198"/>
      <c r="CA312" s="198"/>
      <c r="CB312" s="198"/>
      <c r="CC312" s="198"/>
      <c r="CD312" s="198"/>
      <c r="CE312" s="198"/>
      <c r="CF312" s="198"/>
      <c r="CG312" s="198"/>
    </row>
    <row r="313" spans="1:85" s="199" customFormat="1" x14ac:dyDescent="0.25">
      <c r="A313" s="169"/>
      <c r="B313" s="190" t="s">
        <v>54</v>
      </c>
      <c r="C313" s="243"/>
      <c r="D313" s="622"/>
      <c r="E313" s="622"/>
      <c r="F313" s="622"/>
      <c r="G313" s="622"/>
      <c r="H313" s="622"/>
      <c r="I313" s="197"/>
      <c r="J313" s="197"/>
      <c r="K313" s="197"/>
      <c r="L313" s="197"/>
      <c r="M313" s="197"/>
      <c r="N313" s="197"/>
      <c r="O313" s="197"/>
      <c r="P313" s="197"/>
      <c r="Q313" s="197"/>
      <c r="R313" s="197"/>
      <c r="S313" s="197"/>
      <c r="T313" s="198"/>
      <c r="U313" s="198"/>
      <c r="V313" s="198"/>
      <c r="W313" s="198"/>
      <c r="X313" s="198"/>
      <c r="Y313" s="198"/>
      <c r="Z313" s="198"/>
      <c r="AA313" s="198"/>
      <c r="AB313" s="198"/>
      <c r="AC313" s="198"/>
      <c r="AD313" s="198"/>
      <c r="AE313" s="198"/>
      <c r="AF313" s="198"/>
      <c r="AG313" s="198"/>
      <c r="AH313" s="198"/>
      <c r="AI313" s="198"/>
      <c r="AJ313" s="198"/>
      <c r="AK313" s="198"/>
      <c r="AL313" s="198"/>
      <c r="AM313" s="198"/>
      <c r="AN313" s="198"/>
      <c r="AO313" s="198"/>
      <c r="AP313" s="198"/>
      <c r="AQ313" s="198"/>
      <c r="AR313" s="198"/>
      <c r="AS313" s="198"/>
      <c r="AT313" s="198"/>
      <c r="AU313" s="198"/>
      <c r="AV313" s="198"/>
      <c r="AW313" s="198"/>
      <c r="AX313" s="198"/>
      <c r="AY313" s="198"/>
      <c r="AZ313" s="198"/>
      <c r="BA313" s="198"/>
      <c r="BB313" s="198"/>
      <c r="BC313" s="198"/>
      <c r="BD313" s="198"/>
      <c r="BE313" s="198"/>
      <c r="BF313" s="198"/>
      <c r="BG313" s="198"/>
      <c r="BH313" s="198"/>
      <c r="BI313" s="198"/>
      <c r="BJ313" s="198"/>
      <c r="BK313" s="198"/>
      <c r="BL313" s="198"/>
      <c r="BM313" s="198"/>
      <c r="BN313" s="198"/>
      <c r="BO313" s="198"/>
      <c r="BP313" s="198"/>
      <c r="BQ313" s="198"/>
      <c r="BR313" s="198"/>
      <c r="BS313" s="198"/>
      <c r="BT313" s="198"/>
      <c r="BU313" s="198"/>
      <c r="BV313" s="198"/>
      <c r="BW313" s="198"/>
      <c r="BX313" s="198"/>
      <c r="BY313" s="198"/>
      <c r="BZ313" s="198"/>
      <c r="CA313" s="198"/>
      <c r="CB313" s="198"/>
      <c r="CC313" s="198"/>
      <c r="CD313" s="198"/>
      <c r="CE313" s="198"/>
      <c r="CF313" s="198"/>
      <c r="CG313" s="198"/>
    </row>
    <row r="314" spans="1:85" s="199" customFormat="1" x14ac:dyDescent="0.25">
      <c r="A314" s="169"/>
      <c r="B314" s="190" t="s">
        <v>236</v>
      </c>
      <c r="C314" s="243"/>
      <c r="D314" s="622"/>
      <c r="E314" s="622"/>
      <c r="F314" s="622"/>
      <c r="G314" s="622"/>
      <c r="H314" s="622"/>
      <c r="I314" s="197"/>
      <c r="J314" s="197"/>
      <c r="K314" s="197"/>
      <c r="L314" s="197"/>
      <c r="M314" s="197"/>
      <c r="N314" s="197"/>
      <c r="O314" s="197"/>
      <c r="P314" s="197"/>
      <c r="Q314" s="197"/>
      <c r="R314" s="197"/>
      <c r="S314" s="197"/>
      <c r="T314" s="198"/>
      <c r="U314" s="198"/>
      <c r="V314" s="198"/>
      <c r="W314" s="198"/>
      <c r="X314" s="198"/>
      <c r="Y314" s="198"/>
      <c r="Z314" s="198"/>
      <c r="AA314" s="198"/>
      <c r="AB314" s="198"/>
      <c r="AC314" s="198"/>
      <c r="AD314" s="198"/>
      <c r="AE314" s="198"/>
      <c r="AF314" s="198"/>
      <c r="AG314" s="198"/>
      <c r="AH314" s="198"/>
      <c r="AI314" s="198"/>
      <c r="AJ314" s="198"/>
      <c r="AK314" s="198"/>
      <c r="AL314" s="198"/>
      <c r="AM314" s="198"/>
      <c r="AN314" s="198"/>
      <c r="AO314" s="198"/>
      <c r="AP314" s="198"/>
      <c r="AQ314" s="198"/>
      <c r="AR314" s="198"/>
      <c r="AS314" s="198"/>
      <c r="AT314" s="198"/>
      <c r="AU314" s="198"/>
      <c r="AV314" s="198"/>
      <c r="AW314" s="198"/>
      <c r="AX314" s="198"/>
      <c r="AY314" s="198"/>
      <c r="AZ314" s="198"/>
      <c r="BA314" s="198"/>
      <c r="BB314" s="198"/>
      <c r="BC314" s="198"/>
      <c r="BD314" s="198"/>
      <c r="BE314" s="198"/>
      <c r="BF314" s="198"/>
      <c r="BG314" s="198"/>
      <c r="BH314" s="198"/>
      <c r="BI314" s="198"/>
      <c r="BJ314" s="198"/>
      <c r="BK314" s="198"/>
      <c r="BL314" s="198"/>
      <c r="BM314" s="198"/>
      <c r="BN314" s="198"/>
      <c r="BO314" s="198"/>
      <c r="BP314" s="198"/>
      <c r="BQ314" s="198"/>
      <c r="BR314" s="198"/>
      <c r="BS314" s="198"/>
      <c r="BT314" s="198"/>
      <c r="BU314" s="198"/>
      <c r="BV314" s="198"/>
      <c r="BW314" s="198"/>
      <c r="BX314" s="198"/>
      <c r="BY314" s="198"/>
      <c r="BZ314" s="198"/>
      <c r="CA314" s="198"/>
      <c r="CB314" s="198"/>
      <c r="CC314" s="198"/>
      <c r="CD314" s="198"/>
      <c r="CE314" s="198"/>
      <c r="CF314" s="198"/>
      <c r="CG314" s="198"/>
    </row>
    <row r="315" spans="1:85" s="199" customFormat="1" x14ac:dyDescent="0.25">
      <c r="A315" s="169"/>
      <c r="B315" s="170" t="s">
        <v>22</v>
      </c>
      <c r="C315" s="623"/>
      <c r="D315" s="622"/>
      <c r="E315" s="622"/>
      <c r="F315" s="622"/>
      <c r="G315" s="622"/>
      <c r="H315" s="622"/>
      <c r="I315" s="197"/>
      <c r="J315" s="197"/>
      <c r="K315" s="197"/>
      <c r="L315" s="197"/>
      <c r="M315" s="197"/>
      <c r="N315" s="197"/>
      <c r="O315" s="197"/>
      <c r="P315" s="197"/>
      <c r="Q315" s="197"/>
      <c r="R315" s="197"/>
      <c r="S315" s="197"/>
      <c r="T315" s="198"/>
      <c r="U315" s="198"/>
      <c r="V315" s="198"/>
      <c r="W315" s="198"/>
      <c r="X315" s="198"/>
      <c r="Y315" s="198"/>
      <c r="Z315" s="198"/>
      <c r="AA315" s="198"/>
      <c r="AB315" s="198"/>
      <c r="AC315" s="198"/>
      <c r="AD315" s="198"/>
      <c r="AE315" s="198"/>
      <c r="AF315" s="198"/>
      <c r="AG315" s="198"/>
      <c r="AH315" s="198"/>
      <c r="AI315" s="198"/>
      <c r="AJ315" s="198"/>
      <c r="AK315" s="198"/>
      <c r="AL315" s="198"/>
      <c r="AM315" s="198"/>
      <c r="AN315" s="198"/>
      <c r="AO315" s="198"/>
      <c r="AP315" s="198"/>
      <c r="AQ315" s="198"/>
      <c r="AR315" s="198"/>
      <c r="AS315" s="198"/>
      <c r="AT315" s="198"/>
      <c r="AU315" s="198"/>
      <c r="AV315" s="198"/>
      <c r="AW315" s="198"/>
      <c r="AX315" s="198"/>
      <c r="AY315" s="198"/>
      <c r="AZ315" s="198"/>
      <c r="BA315" s="198"/>
      <c r="BB315" s="198"/>
      <c r="BC315" s="198"/>
      <c r="BD315" s="198"/>
      <c r="BE315" s="198"/>
      <c r="BF315" s="198"/>
      <c r="BG315" s="198"/>
      <c r="BH315" s="198"/>
      <c r="BI315" s="198"/>
      <c r="BJ315" s="198"/>
      <c r="BK315" s="198"/>
      <c r="BL315" s="198"/>
      <c r="BM315" s="198"/>
      <c r="BN315" s="198"/>
      <c r="BO315" s="198"/>
      <c r="BP315" s="198"/>
      <c r="BQ315" s="198"/>
      <c r="BR315" s="198"/>
      <c r="BS315" s="198"/>
      <c r="BT315" s="198"/>
      <c r="BU315" s="198"/>
      <c r="BV315" s="198"/>
      <c r="BW315" s="198"/>
      <c r="BX315" s="198"/>
      <c r="BY315" s="198"/>
      <c r="BZ315" s="198"/>
      <c r="CA315" s="198"/>
      <c r="CB315" s="198"/>
      <c r="CC315" s="198"/>
      <c r="CD315" s="198"/>
      <c r="CE315" s="198"/>
      <c r="CF315" s="198"/>
      <c r="CG315" s="198"/>
    </row>
    <row r="316" spans="1:85" s="199" customFormat="1" ht="15.6" x14ac:dyDescent="0.3">
      <c r="A316" s="166" t="s">
        <v>85</v>
      </c>
      <c r="B316" s="167"/>
      <c r="C316" s="274"/>
      <c r="D316" s="624"/>
      <c r="E316" s="624"/>
      <c r="F316" s="624"/>
      <c r="G316" s="624"/>
      <c r="H316" s="624"/>
      <c r="I316" s="197"/>
      <c r="J316" s="197"/>
      <c r="K316" s="197"/>
      <c r="L316" s="197"/>
      <c r="M316" s="197"/>
      <c r="N316" s="197"/>
      <c r="O316" s="197"/>
      <c r="P316" s="197"/>
      <c r="Q316" s="197"/>
      <c r="R316" s="197"/>
      <c r="S316" s="197"/>
      <c r="T316" s="198"/>
      <c r="U316" s="198"/>
      <c r="V316" s="198"/>
      <c r="W316" s="198"/>
      <c r="X316" s="198"/>
      <c r="Y316" s="198"/>
      <c r="Z316" s="198"/>
      <c r="AA316" s="198"/>
      <c r="AB316" s="198"/>
      <c r="AC316" s="198"/>
      <c r="AD316" s="198"/>
      <c r="AE316" s="198"/>
      <c r="AF316" s="198"/>
      <c r="AG316" s="198"/>
      <c r="AH316" s="198"/>
      <c r="AI316" s="198"/>
      <c r="AJ316" s="198"/>
      <c r="AK316" s="198"/>
      <c r="AL316" s="198"/>
      <c r="AM316" s="198"/>
      <c r="AN316" s="198"/>
      <c r="AO316" s="198"/>
      <c r="AP316" s="198"/>
      <c r="AQ316" s="198"/>
      <c r="AR316" s="198"/>
      <c r="AS316" s="198"/>
      <c r="AT316" s="198"/>
      <c r="AU316" s="198"/>
      <c r="AV316" s="198"/>
      <c r="AW316" s="198"/>
      <c r="AX316" s="198"/>
      <c r="AY316" s="198"/>
      <c r="AZ316" s="198"/>
      <c r="BA316" s="198"/>
      <c r="BB316" s="198"/>
      <c r="BC316" s="198"/>
      <c r="BD316" s="198"/>
      <c r="BE316" s="198"/>
      <c r="BF316" s="198"/>
      <c r="BG316" s="198"/>
      <c r="BH316" s="198"/>
      <c r="BI316" s="198"/>
      <c r="BJ316" s="198"/>
      <c r="BK316" s="198"/>
      <c r="BL316" s="198"/>
      <c r="BM316" s="198"/>
      <c r="BN316" s="198"/>
      <c r="BO316" s="198"/>
      <c r="BP316" s="198"/>
      <c r="BQ316" s="198"/>
      <c r="BR316" s="198"/>
      <c r="BS316" s="198"/>
      <c r="BT316" s="198"/>
      <c r="BU316" s="198"/>
      <c r="BV316" s="198"/>
      <c r="BW316" s="198"/>
      <c r="BX316" s="198"/>
      <c r="BY316" s="198"/>
      <c r="BZ316" s="198"/>
      <c r="CA316" s="198"/>
      <c r="CB316" s="198"/>
      <c r="CC316" s="198"/>
      <c r="CD316" s="198"/>
      <c r="CE316" s="198"/>
      <c r="CF316" s="198"/>
      <c r="CG316" s="198"/>
    </row>
    <row r="317" spans="1:85" s="199" customFormat="1" x14ac:dyDescent="0.25">
      <c r="A317" s="169"/>
      <c r="B317" s="170" t="s">
        <v>86</v>
      </c>
      <c r="C317" s="243"/>
      <c r="D317" s="622"/>
      <c r="E317" s="622"/>
      <c r="F317" s="622"/>
      <c r="G317" s="622"/>
      <c r="H317" s="622"/>
      <c r="I317" s="197"/>
      <c r="J317" s="197"/>
      <c r="K317" s="197"/>
      <c r="L317" s="197"/>
      <c r="M317" s="197"/>
      <c r="N317" s="197"/>
      <c r="O317" s="197"/>
      <c r="P317" s="197"/>
      <c r="Q317" s="197"/>
      <c r="R317" s="197"/>
      <c r="S317" s="197"/>
      <c r="T317" s="198"/>
      <c r="U317" s="198"/>
      <c r="V317" s="198"/>
      <c r="W317" s="198"/>
      <c r="X317" s="198"/>
      <c r="Y317" s="198"/>
      <c r="Z317" s="198"/>
      <c r="AA317" s="198"/>
      <c r="AB317" s="198"/>
      <c r="AC317" s="198"/>
      <c r="AD317" s="198"/>
      <c r="AE317" s="198"/>
      <c r="AF317" s="198"/>
      <c r="AG317" s="198"/>
      <c r="AH317" s="198"/>
      <c r="AI317" s="198"/>
      <c r="AJ317" s="198"/>
      <c r="AK317" s="198"/>
      <c r="AL317" s="198"/>
      <c r="AM317" s="198"/>
      <c r="AN317" s="198"/>
      <c r="AO317" s="198"/>
      <c r="AP317" s="198"/>
      <c r="AQ317" s="198"/>
      <c r="AR317" s="198"/>
      <c r="AS317" s="198"/>
      <c r="AT317" s="198"/>
      <c r="AU317" s="198"/>
      <c r="AV317" s="198"/>
      <c r="AW317" s="198"/>
      <c r="AX317" s="198"/>
      <c r="AY317" s="198"/>
      <c r="AZ317" s="198"/>
      <c r="BA317" s="198"/>
      <c r="BB317" s="198"/>
      <c r="BC317" s="198"/>
      <c r="BD317" s="198"/>
      <c r="BE317" s="198"/>
      <c r="BF317" s="198"/>
      <c r="BG317" s="198"/>
      <c r="BH317" s="198"/>
      <c r="BI317" s="198"/>
      <c r="BJ317" s="198"/>
      <c r="BK317" s="198"/>
      <c r="BL317" s="198"/>
      <c r="BM317" s="198"/>
      <c r="BN317" s="198"/>
      <c r="BO317" s="198"/>
      <c r="BP317" s="198"/>
      <c r="BQ317" s="198"/>
      <c r="BR317" s="198"/>
      <c r="BS317" s="198"/>
      <c r="BT317" s="198"/>
      <c r="BU317" s="198"/>
      <c r="BV317" s="198"/>
      <c r="BW317" s="198"/>
      <c r="BX317" s="198"/>
      <c r="BY317" s="198"/>
      <c r="BZ317" s="198"/>
      <c r="CA317" s="198"/>
      <c r="CB317" s="198"/>
      <c r="CC317" s="198"/>
      <c r="CD317" s="198"/>
      <c r="CE317" s="198"/>
      <c r="CF317" s="198"/>
      <c r="CG317" s="198"/>
    </row>
    <row r="318" spans="1:85" s="199" customFormat="1" x14ac:dyDescent="0.25">
      <c r="A318" s="169"/>
      <c r="B318" s="170" t="s">
        <v>87</v>
      </c>
      <c r="C318" s="243"/>
      <c r="D318" s="622"/>
      <c r="E318" s="622"/>
      <c r="F318" s="622"/>
      <c r="G318" s="622"/>
      <c r="H318" s="622"/>
      <c r="I318" s="197"/>
      <c r="J318" s="197"/>
      <c r="K318" s="197"/>
      <c r="L318" s="197"/>
      <c r="M318" s="197"/>
      <c r="N318" s="197"/>
      <c r="O318" s="197"/>
      <c r="P318" s="197"/>
      <c r="Q318" s="197"/>
      <c r="R318" s="197"/>
      <c r="S318" s="197"/>
      <c r="T318" s="198"/>
      <c r="U318" s="198"/>
      <c r="V318" s="198"/>
      <c r="W318" s="198"/>
      <c r="X318" s="198"/>
      <c r="Y318" s="198"/>
      <c r="Z318" s="198"/>
      <c r="AA318" s="198"/>
      <c r="AB318" s="198"/>
      <c r="AC318" s="198"/>
      <c r="AD318" s="198"/>
      <c r="AE318" s="198"/>
      <c r="AF318" s="198"/>
      <c r="AG318" s="198"/>
      <c r="AH318" s="198"/>
      <c r="AI318" s="198"/>
      <c r="AJ318" s="198"/>
      <c r="AK318" s="198"/>
      <c r="AL318" s="198"/>
      <c r="AM318" s="198"/>
      <c r="AN318" s="198"/>
      <c r="AO318" s="198"/>
      <c r="AP318" s="198"/>
      <c r="AQ318" s="198"/>
      <c r="AR318" s="198"/>
      <c r="AS318" s="198"/>
      <c r="AT318" s="198"/>
      <c r="AU318" s="198"/>
      <c r="AV318" s="198"/>
      <c r="AW318" s="198"/>
      <c r="AX318" s="198"/>
      <c r="AY318" s="198"/>
      <c r="AZ318" s="198"/>
      <c r="BA318" s="198"/>
      <c r="BB318" s="198"/>
      <c r="BC318" s="198"/>
      <c r="BD318" s="198"/>
      <c r="BE318" s="198"/>
      <c r="BF318" s="198"/>
      <c r="BG318" s="198"/>
      <c r="BH318" s="198"/>
      <c r="BI318" s="198"/>
      <c r="BJ318" s="198"/>
      <c r="BK318" s="198"/>
      <c r="BL318" s="198"/>
      <c r="BM318" s="198"/>
      <c r="BN318" s="198"/>
      <c r="BO318" s="198"/>
      <c r="BP318" s="198"/>
      <c r="BQ318" s="198"/>
      <c r="BR318" s="198"/>
      <c r="BS318" s="198"/>
      <c r="BT318" s="198"/>
      <c r="BU318" s="198"/>
      <c r="BV318" s="198"/>
      <c r="BW318" s="198"/>
      <c r="BX318" s="198"/>
      <c r="BY318" s="198"/>
      <c r="BZ318" s="198"/>
      <c r="CA318" s="198"/>
      <c r="CB318" s="198"/>
      <c r="CC318" s="198"/>
      <c r="CD318" s="198"/>
      <c r="CE318" s="198"/>
      <c r="CF318" s="198"/>
      <c r="CG318" s="198"/>
    </row>
    <row r="319" spans="1:85" s="199" customFormat="1" x14ac:dyDescent="0.25">
      <c r="A319" s="169"/>
      <c r="B319" s="170" t="s">
        <v>88</v>
      </c>
      <c r="C319" s="243"/>
      <c r="D319" s="622"/>
      <c r="E319" s="622"/>
      <c r="F319" s="622"/>
      <c r="G319" s="622"/>
      <c r="H319" s="622"/>
      <c r="I319" s="197"/>
      <c r="J319" s="197"/>
      <c r="K319" s="197"/>
      <c r="L319" s="197"/>
      <c r="M319" s="197"/>
      <c r="N319" s="197"/>
      <c r="O319" s="197"/>
      <c r="P319" s="197"/>
      <c r="Q319" s="197"/>
      <c r="R319" s="197"/>
      <c r="S319" s="197"/>
      <c r="T319" s="198"/>
      <c r="U319" s="198"/>
      <c r="V319" s="198"/>
      <c r="W319" s="198"/>
      <c r="X319" s="198"/>
      <c r="Y319" s="198"/>
      <c r="Z319" s="198"/>
      <c r="AA319" s="198"/>
      <c r="AB319" s="198"/>
      <c r="AC319" s="198"/>
      <c r="AD319" s="198"/>
      <c r="AE319" s="198"/>
      <c r="AF319" s="198"/>
      <c r="AG319" s="198"/>
      <c r="AH319" s="198"/>
      <c r="AI319" s="198"/>
      <c r="AJ319" s="198"/>
      <c r="AK319" s="198"/>
      <c r="AL319" s="198"/>
      <c r="AM319" s="198"/>
      <c r="AN319" s="198"/>
      <c r="AO319" s="198"/>
      <c r="AP319" s="198"/>
      <c r="AQ319" s="198"/>
      <c r="AR319" s="198"/>
      <c r="AS319" s="198"/>
      <c r="AT319" s="198"/>
      <c r="AU319" s="198"/>
      <c r="AV319" s="198"/>
      <c r="AW319" s="198"/>
      <c r="AX319" s="198"/>
      <c r="AY319" s="198"/>
      <c r="AZ319" s="198"/>
      <c r="BA319" s="198"/>
      <c r="BB319" s="198"/>
      <c r="BC319" s="198"/>
      <c r="BD319" s="198"/>
      <c r="BE319" s="198"/>
      <c r="BF319" s="198"/>
      <c r="BG319" s="198"/>
      <c r="BH319" s="198"/>
      <c r="BI319" s="198"/>
      <c r="BJ319" s="198"/>
      <c r="BK319" s="198"/>
      <c r="BL319" s="198"/>
      <c r="BM319" s="198"/>
      <c r="BN319" s="198"/>
      <c r="BO319" s="198"/>
      <c r="BP319" s="198"/>
      <c r="BQ319" s="198"/>
      <c r="BR319" s="198"/>
      <c r="BS319" s="198"/>
      <c r="BT319" s="198"/>
      <c r="BU319" s="198"/>
      <c r="BV319" s="198"/>
      <c r="BW319" s="198"/>
      <c r="BX319" s="198"/>
      <c r="BY319" s="198"/>
      <c r="BZ319" s="198"/>
      <c r="CA319" s="198"/>
      <c r="CB319" s="198"/>
      <c r="CC319" s="198"/>
      <c r="CD319" s="198"/>
      <c r="CE319" s="198"/>
      <c r="CF319" s="198"/>
      <c r="CG319" s="198"/>
    </row>
    <row r="320" spans="1:85" s="199" customFormat="1" x14ac:dyDescent="0.25">
      <c r="A320" s="169"/>
      <c r="B320" s="170" t="s">
        <v>89</v>
      </c>
      <c r="C320" s="243"/>
      <c r="D320" s="622"/>
      <c r="E320" s="622"/>
      <c r="F320" s="622"/>
      <c r="G320" s="622"/>
      <c r="H320" s="622"/>
      <c r="I320" s="197"/>
      <c r="J320" s="197"/>
      <c r="K320" s="197"/>
      <c r="L320" s="197"/>
      <c r="M320" s="197"/>
      <c r="N320" s="197"/>
      <c r="O320" s="197"/>
      <c r="P320" s="197"/>
      <c r="Q320" s="197"/>
      <c r="R320" s="197"/>
      <c r="S320" s="197"/>
      <c r="T320" s="198"/>
      <c r="U320" s="198"/>
      <c r="V320" s="198"/>
      <c r="W320" s="198"/>
      <c r="X320" s="198"/>
      <c r="Y320" s="198"/>
      <c r="Z320" s="198"/>
      <c r="AA320" s="198"/>
      <c r="AB320" s="198"/>
      <c r="AC320" s="198"/>
      <c r="AD320" s="198"/>
      <c r="AE320" s="198"/>
      <c r="AF320" s="198"/>
      <c r="AG320" s="198"/>
      <c r="AH320" s="198"/>
      <c r="AI320" s="198"/>
      <c r="AJ320" s="198"/>
      <c r="AK320" s="198"/>
      <c r="AL320" s="198"/>
      <c r="AM320" s="198"/>
      <c r="AN320" s="198"/>
      <c r="AO320" s="198"/>
      <c r="AP320" s="198"/>
      <c r="AQ320" s="198"/>
      <c r="AR320" s="198"/>
      <c r="AS320" s="198"/>
      <c r="AT320" s="198"/>
      <c r="AU320" s="198"/>
      <c r="AV320" s="198"/>
      <c r="AW320" s="198"/>
      <c r="AX320" s="198"/>
      <c r="AY320" s="198"/>
      <c r="AZ320" s="198"/>
      <c r="BA320" s="198"/>
      <c r="BB320" s="198"/>
      <c r="BC320" s="198"/>
      <c r="BD320" s="198"/>
      <c r="BE320" s="198"/>
      <c r="BF320" s="198"/>
      <c r="BG320" s="198"/>
      <c r="BH320" s="198"/>
      <c r="BI320" s="198"/>
      <c r="BJ320" s="198"/>
      <c r="BK320" s="198"/>
      <c r="BL320" s="198"/>
      <c r="BM320" s="198"/>
      <c r="BN320" s="198"/>
      <c r="BO320" s="198"/>
      <c r="BP320" s="198"/>
      <c r="BQ320" s="198"/>
      <c r="BR320" s="198"/>
      <c r="BS320" s="198"/>
      <c r="BT320" s="198"/>
      <c r="BU320" s="198"/>
      <c r="BV320" s="198"/>
      <c r="BW320" s="198"/>
      <c r="BX320" s="198"/>
      <c r="BY320" s="198"/>
      <c r="BZ320" s="198"/>
      <c r="CA320" s="198"/>
      <c r="CB320" s="198"/>
      <c r="CC320" s="198"/>
      <c r="CD320" s="198"/>
      <c r="CE320" s="198"/>
      <c r="CF320" s="198"/>
      <c r="CG320" s="198"/>
    </row>
    <row r="321" spans="1:85" s="199" customFormat="1" x14ac:dyDescent="0.25">
      <c r="A321" s="169"/>
      <c r="B321" s="190" t="s">
        <v>236</v>
      </c>
      <c r="C321" s="243"/>
      <c r="D321" s="622"/>
      <c r="E321" s="622"/>
      <c r="F321" s="622"/>
      <c r="G321" s="622"/>
      <c r="H321" s="622"/>
      <c r="I321" s="197"/>
      <c r="J321" s="197"/>
      <c r="K321" s="197"/>
      <c r="L321" s="197"/>
      <c r="M321" s="197"/>
      <c r="N321" s="197"/>
      <c r="O321" s="197"/>
      <c r="P321" s="197"/>
      <c r="Q321" s="197"/>
      <c r="R321" s="197"/>
      <c r="S321" s="197"/>
      <c r="T321" s="198"/>
      <c r="U321" s="198"/>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c r="BD321" s="198"/>
      <c r="BE321" s="198"/>
      <c r="BF321" s="198"/>
      <c r="BG321" s="198"/>
      <c r="BH321" s="198"/>
      <c r="BI321" s="198"/>
      <c r="BJ321" s="198"/>
      <c r="BK321" s="198"/>
      <c r="BL321" s="198"/>
      <c r="BM321" s="198"/>
      <c r="BN321" s="198"/>
      <c r="BO321" s="198"/>
      <c r="BP321" s="198"/>
      <c r="BQ321" s="198"/>
      <c r="BR321" s="198"/>
      <c r="BS321" s="198"/>
      <c r="BT321" s="198"/>
      <c r="BU321" s="198"/>
      <c r="BV321" s="198"/>
      <c r="BW321" s="198"/>
      <c r="BX321" s="198"/>
      <c r="BY321" s="198"/>
      <c r="BZ321" s="198"/>
      <c r="CA321" s="198"/>
      <c r="CB321" s="198"/>
      <c r="CC321" s="198"/>
      <c r="CD321" s="198"/>
      <c r="CE321" s="198"/>
      <c r="CF321" s="198"/>
      <c r="CG321" s="198"/>
    </row>
    <row r="322" spans="1:85" s="199" customFormat="1" x14ac:dyDescent="0.25">
      <c r="A322" s="169"/>
      <c r="B322" s="170" t="s">
        <v>22</v>
      </c>
      <c r="C322" s="623"/>
      <c r="D322" s="622"/>
      <c r="E322" s="622"/>
      <c r="F322" s="622"/>
      <c r="G322" s="622"/>
      <c r="H322" s="622"/>
      <c r="I322" s="197"/>
      <c r="J322" s="197"/>
      <c r="K322" s="197"/>
      <c r="L322" s="197"/>
      <c r="M322" s="197"/>
      <c r="N322" s="197"/>
      <c r="O322" s="197"/>
      <c r="P322" s="197"/>
      <c r="Q322" s="197"/>
      <c r="R322" s="197"/>
      <c r="S322" s="197"/>
      <c r="T322" s="198"/>
      <c r="U322" s="198"/>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8"/>
      <c r="AY322" s="198"/>
      <c r="AZ322" s="198"/>
      <c r="BA322" s="198"/>
      <c r="BB322" s="198"/>
      <c r="BC322" s="198"/>
      <c r="BD322" s="198"/>
      <c r="BE322" s="198"/>
      <c r="BF322" s="198"/>
      <c r="BG322" s="198"/>
      <c r="BH322" s="198"/>
      <c r="BI322" s="198"/>
      <c r="BJ322" s="198"/>
      <c r="BK322" s="198"/>
      <c r="BL322" s="198"/>
      <c r="BM322" s="198"/>
      <c r="BN322" s="198"/>
      <c r="BO322" s="198"/>
      <c r="BP322" s="198"/>
      <c r="BQ322" s="198"/>
      <c r="BR322" s="198"/>
      <c r="BS322" s="198"/>
      <c r="BT322" s="198"/>
      <c r="BU322" s="198"/>
      <c r="BV322" s="198"/>
      <c r="BW322" s="198"/>
      <c r="BX322" s="198"/>
      <c r="BY322" s="198"/>
      <c r="BZ322" s="198"/>
      <c r="CA322" s="198"/>
      <c r="CB322" s="198"/>
      <c r="CC322" s="198"/>
      <c r="CD322" s="198"/>
      <c r="CE322" s="198"/>
      <c r="CF322" s="198"/>
      <c r="CG322" s="198"/>
    </row>
    <row r="323" spans="1:85" s="199" customFormat="1" ht="15.6" x14ac:dyDescent="0.3">
      <c r="A323" s="166" t="s">
        <v>93</v>
      </c>
      <c r="B323" s="167"/>
      <c r="C323" s="274"/>
      <c r="D323" s="624"/>
      <c r="E323" s="624"/>
      <c r="F323" s="624"/>
      <c r="G323" s="624"/>
      <c r="H323" s="624"/>
      <c r="I323" s="197"/>
      <c r="J323" s="197"/>
      <c r="K323" s="197"/>
      <c r="L323" s="197"/>
      <c r="M323" s="197"/>
      <c r="N323" s="197"/>
      <c r="O323" s="197"/>
      <c r="P323" s="197"/>
      <c r="Q323" s="197"/>
      <c r="R323" s="197"/>
      <c r="S323" s="197"/>
      <c r="T323" s="198"/>
      <c r="U323" s="198"/>
      <c r="V323" s="198"/>
      <c r="W323" s="198"/>
      <c r="X323" s="198"/>
      <c r="Y323" s="198"/>
      <c r="Z323" s="198"/>
      <c r="AA323" s="198"/>
      <c r="AB323" s="198"/>
      <c r="AC323" s="198"/>
      <c r="AD323" s="198"/>
      <c r="AE323" s="198"/>
      <c r="AF323" s="198"/>
      <c r="AG323" s="198"/>
      <c r="AH323" s="198"/>
      <c r="AI323" s="198"/>
      <c r="AJ323" s="198"/>
      <c r="AK323" s="198"/>
      <c r="AL323" s="198"/>
      <c r="AM323" s="198"/>
      <c r="AN323" s="198"/>
      <c r="AO323" s="198"/>
      <c r="AP323" s="198"/>
      <c r="AQ323" s="198"/>
      <c r="AR323" s="198"/>
      <c r="AS323" s="198"/>
      <c r="AT323" s="198"/>
      <c r="AU323" s="198"/>
      <c r="AV323" s="198"/>
      <c r="AW323" s="198"/>
      <c r="AX323" s="198"/>
      <c r="AY323" s="198"/>
      <c r="AZ323" s="198"/>
      <c r="BA323" s="198"/>
      <c r="BB323" s="198"/>
      <c r="BC323" s="198"/>
      <c r="BD323" s="198"/>
      <c r="BE323" s="198"/>
      <c r="BF323" s="198"/>
      <c r="BG323" s="198"/>
      <c r="BH323" s="198"/>
      <c r="BI323" s="198"/>
      <c r="BJ323" s="198"/>
      <c r="BK323" s="198"/>
      <c r="BL323" s="198"/>
      <c r="BM323" s="198"/>
      <c r="BN323" s="198"/>
      <c r="BO323" s="198"/>
      <c r="BP323" s="198"/>
      <c r="BQ323" s="198"/>
      <c r="BR323" s="198"/>
      <c r="BS323" s="198"/>
      <c r="BT323" s="198"/>
      <c r="BU323" s="198"/>
      <c r="BV323" s="198"/>
      <c r="BW323" s="198"/>
      <c r="BX323" s="198"/>
      <c r="BY323" s="198"/>
      <c r="BZ323" s="198"/>
      <c r="CA323" s="198"/>
      <c r="CB323" s="198"/>
      <c r="CC323" s="198"/>
      <c r="CD323" s="198"/>
      <c r="CE323" s="198"/>
      <c r="CF323" s="198"/>
      <c r="CG323" s="198"/>
    </row>
    <row r="324" spans="1:85" s="199" customFormat="1" x14ac:dyDescent="0.25">
      <c r="A324" s="169"/>
      <c r="B324" s="170" t="s">
        <v>92</v>
      </c>
      <c r="C324" s="243"/>
      <c r="D324" s="622"/>
      <c r="E324" s="622"/>
      <c r="F324" s="622"/>
      <c r="G324" s="622"/>
      <c r="H324" s="622"/>
      <c r="I324" s="197"/>
      <c r="J324" s="197"/>
      <c r="K324" s="197"/>
      <c r="L324" s="197"/>
      <c r="M324" s="197"/>
      <c r="N324" s="197"/>
      <c r="O324" s="197"/>
      <c r="P324" s="197"/>
      <c r="Q324" s="197"/>
      <c r="R324" s="197"/>
      <c r="S324" s="197"/>
      <c r="T324" s="198"/>
      <c r="U324" s="198"/>
      <c r="V324" s="198"/>
      <c r="W324" s="198"/>
      <c r="X324" s="198"/>
      <c r="Y324" s="198"/>
      <c r="Z324" s="198"/>
      <c r="AA324" s="198"/>
      <c r="AB324" s="198"/>
      <c r="AC324" s="198"/>
      <c r="AD324" s="198"/>
      <c r="AE324" s="198"/>
      <c r="AF324" s="198"/>
      <c r="AG324" s="198"/>
      <c r="AH324" s="198"/>
      <c r="AI324" s="198"/>
      <c r="AJ324" s="198"/>
      <c r="AK324" s="198"/>
      <c r="AL324" s="198"/>
      <c r="AM324" s="198"/>
      <c r="AN324" s="198"/>
      <c r="AO324" s="198"/>
      <c r="AP324" s="198"/>
      <c r="AQ324" s="198"/>
      <c r="AR324" s="198"/>
      <c r="AS324" s="198"/>
      <c r="AT324" s="198"/>
      <c r="AU324" s="198"/>
      <c r="AV324" s="198"/>
      <c r="AW324" s="198"/>
      <c r="AX324" s="198"/>
      <c r="AY324" s="198"/>
      <c r="AZ324" s="198"/>
      <c r="BA324" s="198"/>
      <c r="BB324" s="198"/>
      <c r="BC324" s="198"/>
      <c r="BD324" s="198"/>
      <c r="BE324" s="198"/>
      <c r="BF324" s="198"/>
      <c r="BG324" s="198"/>
      <c r="BH324" s="198"/>
      <c r="BI324" s="198"/>
      <c r="BJ324" s="198"/>
      <c r="BK324" s="198"/>
      <c r="BL324" s="198"/>
      <c r="BM324" s="198"/>
      <c r="BN324" s="198"/>
      <c r="BO324" s="198"/>
      <c r="BP324" s="198"/>
      <c r="BQ324" s="198"/>
      <c r="BR324" s="198"/>
      <c r="BS324" s="198"/>
      <c r="BT324" s="198"/>
      <c r="BU324" s="198"/>
      <c r="BV324" s="198"/>
      <c r="BW324" s="198"/>
      <c r="BX324" s="198"/>
      <c r="BY324" s="198"/>
      <c r="BZ324" s="198"/>
      <c r="CA324" s="198"/>
      <c r="CB324" s="198"/>
      <c r="CC324" s="198"/>
      <c r="CD324" s="198"/>
      <c r="CE324" s="198"/>
      <c r="CF324" s="198"/>
      <c r="CG324" s="198"/>
    </row>
    <row r="325" spans="1:85" s="199" customFormat="1" x14ac:dyDescent="0.25">
      <c r="A325" s="169"/>
      <c r="B325" s="170" t="s">
        <v>90</v>
      </c>
      <c r="C325" s="243"/>
      <c r="D325" s="622"/>
      <c r="E325" s="622"/>
      <c r="F325" s="622"/>
      <c r="G325" s="622"/>
      <c r="H325" s="622"/>
      <c r="I325" s="197"/>
      <c r="J325" s="197"/>
      <c r="K325" s="197"/>
      <c r="L325" s="197"/>
      <c r="M325" s="197"/>
      <c r="N325" s="197"/>
      <c r="O325" s="197"/>
      <c r="P325" s="197"/>
      <c r="Q325" s="197"/>
      <c r="R325" s="197"/>
      <c r="S325" s="197"/>
      <c r="T325" s="198"/>
      <c r="U325" s="198"/>
      <c r="V325" s="198"/>
      <c r="W325" s="198"/>
      <c r="X325" s="198"/>
      <c r="Y325" s="198"/>
      <c r="Z325" s="198"/>
      <c r="AA325" s="198"/>
      <c r="AB325" s="198"/>
      <c r="AC325" s="198"/>
      <c r="AD325" s="198"/>
      <c r="AE325" s="198"/>
      <c r="AF325" s="198"/>
      <c r="AG325" s="198"/>
      <c r="AH325" s="198"/>
      <c r="AI325" s="198"/>
      <c r="AJ325" s="198"/>
      <c r="AK325" s="198"/>
      <c r="AL325" s="198"/>
      <c r="AM325" s="198"/>
      <c r="AN325" s="198"/>
      <c r="AO325" s="198"/>
      <c r="AP325" s="198"/>
      <c r="AQ325" s="198"/>
      <c r="AR325" s="198"/>
      <c r="AS325" s="198"/>
      <c r="AT325" s="198"/>
      <c r="AU325" s="198"/>
      <c r="AV325" s="198"/>
      <c r="AW325" s="198"/>
      <c r="AX325" s="198"/>
      <c r="AY325" s="198"/>
      <c r="AZ325" s="198"/>
      <c r="BA325" s="198"/>
      <c r="BB325" s="198"/>
      <c r="BC325" s="198"/>
      <c r="BD325" s="198"/>
      <c r="BE325" s="198"/>
      <c r="BF325" s="198"/>
      <c r="BG325" s="198"/>
      <c r="BH325" s="198"/>
      <c r="BI325" s="198"/>
      <c r="BJ325" s="198"/>
      <c r="BK325" s="198"/>
      <c r="BL325" s="198"/>
      <c r="BM325" s="198"/>
      <c r="BN325" s="198"/>
      <c r="BO325" s="198"/>
      <c r="BP325" s="198"/>
      <c r="BQ325" s="198"/>
      <c r="BR325" s="198"/>
      <c r="BS325" s="198"/>
      <c r="BT325" s="198"/>
      <c r="BU325" s="198"/>
      <c r="BV325" s="198"/>
      <c r="BW325" s="198"/>
      <c r="BX325" s="198"/>
      <c r="BY325" s="198"/>
      <c r="BZ325" s="198"/>
      <c r="CA325" s="198"/>
      <c r="CB325" s="198"/>
      <c r="CC325" s="198"/>
      <c r="CD325" s="198"/>
      <c r="CE325" s="198"/>
      <c r="CF325" s="198"/>
      <c r="CG325" s="198"/>
    </row>
    <row r="326" spans="1:85" s="199" customFormat="1" x14ac:dyDescent="0.25">
      <c r="A326" s="169"/>
      <c r="B326" s="170" t="s">
        <v>91</v>
      </c>
      <c r="C326" s="243"/>
      <c r="D326" s="622"/>
      <c r="E326" s="622"/>
      <c r="F326" s="622"/>
      <c r="G326" s="622"/>
      <c r="H326" s="622"/>
      <c r="I326" s="197"/>
      <c r="J326" s="197"/>
      <c r="K326" s="197"/>
      <c r="L326" s="197"/>
      <c r="M326" s="197"/>
      <c r="N326" s="197"/>
      <c r="O326" s="197"/>
      <c r="P326" s="197"/>
      <c r="Q326" s="197"/>
      <c r="R326" s="197"/>
      <c r="S326" s="197"/>
      <c r="T326" s="198"/>
      <c r="U326" s="198"/>
      <c r="V326" s="198"/>
      <c r="W326" s="198"/>
      <c r="X326" s="198"/>
      <c r="Y326" s="198"/>
      <c r="Z326" s="198"/>
      <c r="AA326" s="198"/>
      <c r="AB326" s="198"/>
      <c r="AC326" s="198"/>
      <c r="AD326" s="198"/>
      <c r="AE326" s="198"/>
      <c r="AF326" s="198"/>
      <c r="AG326" s="198"/>
      <c r="AH326" s="198"/>
      <c r="AI326" s="198"/>
      <c r="AJ326" s="198"/>
      <c r="AK326" s="198"/>
      <c r="AL326" s="198"/>
      <c r="AM326" s="198"/>
      <c r="AN326" s="198"/>
      <c r="AO326" s="198"/>
      <c r="AP326" s="198"/>
      <c r="AQ326" s="198"/>
      <c r="AR326" s="198"/>
      <c r="AS326" s="198"/>
      <c r="AT326" s="198"/>
      <c r="AU326" s="198"/>
      <c r="AV326" s="198"/>
      <c r="AW326" s="198"/>
      <c r="AX326" s="198"/>
      <c r="AY326" s="198"/>
      <c r="AZ326" s="198"/>
      <c r="BA326" s="198"/>
      <c r="BB326" s="198"/>
      <c r="BC326" s="198"/>
      <c r="BD326" s="198"/>
      <c r="BE326" s="198"/>
      <c r="BF326" s="198"/>
      <c r="BG326" s="198"/>
      <c r="BH326" s="198"/>
      <c r="BI326" s="198"/>
      <c r="BJ326" s="198"/>
      <c r="BK326" s="198"/>
      <c r="BL326" s="198"/>
      <c r="BM326" s="198"/>
      <c r="BN326" s="198"/>
      <c r="BO326" s="198"/>
      <c r="BP326" s="198"/>
      <c r="BQ326" s="198"/>
      <c r="BR326" s="198"/>
      <c r="BS326" s="198"/>
      <c r="BT326" s="198"/>
      <c r="BU326" s="198"/>
      <c r="BV326" s="198"/>
      <c r="BW326" s="198"/>
      <c r="BX326" s="198"/>
      <c r="BY326" s="198"/>
      <c r="BZ326" s="198"/>
      <c r="CA326" s="198"/>
      <c r="CB326" s="198"/>
      <c r="CC326" s="198"/>
      <c r="CD326" s="198"/>
      <c r="CE326" s="198"/>
      <c r="CF326" s="198"/>
      <c r="CG326" s="198"/>
    </row>
    <row r="327" spans="1:85" s="199" customFormat="1" x14ac:dyDescent="0.25">
      <c r="A327" s="169"/>
      <c r="B327" s="190" t="s">
        <v>236</v>
      </c>
      <c r="C327" s="243"/>
      <c r="D327" s="622"/>
      <c r="E327" s="622"/>
      <c r="F327" s="622"/>
      <c r="G327" s="622"/>
      <c r="H327" s="622"/>
      <c r="I327" s="197"/>
      <c r="J327" s="197"/>
      <c r="K327" s="197"/>
      <c r="L327" s="197"/>
      <c r="M327" s="197"/>
      <c r="N327" s="197"/>
      <c r="O327" s="197"/>
      <c r="P327" s="197"/>
      <c r="Q327" s="197"/>
      <c r="R327" s="197"/>
      <c r="S327" s="197"/>
      <c r="T327" s="198"/>
      <c r="U327" s="198"/>
      <c r="V327" s="198"/>
      <c r="W327" s="198"/>
      <c r="X327" s="198"/>
      <c r="Y327" s="198"/>
      <c r="Z327" s="198"/>
      <c r="AA327" s="198"/>
      <c r="AB327" s="198"/>
      <c r="AC327" s="198"/>
      <c r="AD327" s="198"/>
      <c r="AE327" s="198"/>
      <c r="AF327" s="198"/>
      <c r="AG327" s="198"/>
      <c r="AH327" s="198"/>
      <c r="AI327" s="198"/>
      <c r="AJ327" s="198"/>
      <c r="AK327" s="198"/>
      <c r="AL327" s="198"/>
      <c r="AM327" s="198"/>
      <c r="AN327" s="198"/>
      <c r="AO327" s="198"/>
      <c r="AP327" s="198"/>
      <c r="AQ327" s="198"/>
      <c r="AR327" s="198"/>
      <c r="AS327" s="198"/>
      <c r="AT327" s="198"/>
      <c r="AU327" s="198"/>
      <c r="AV327" s="198"/>
      <c r="AW327" s="198"/>
      <c r="AX327" s="198"/>
      <c r="AY327" s="198"/>
      <c r="AZ327" s="198"/>
      <c r="BA327" s="198"/>
      <c r="BB327" s="198"/>
      <c r="BC327" s="198"/>
      <c r="BD327" s="198"/>
      <c r="BE327" s="198"/>
      <c r="BF327" s="198"/>
      <c r="BG327" s="198"/>
      <c r="BH327" s="198"/>
      <c r="BI327" s="198"/>
      <c r="BJ327" s="198"/>
      <c r="BK327" s="198"/>
      <c r="BL327" s="198"/>
      <c r="BM327" s="198"/>
      <c r="BN327" s="198"/>
      <c r="BO327" s="198"/>
      <c r="BP327" s="198"/>
      <c r="BQ327" s="198"/>
      <c r="BR327" s="198"/>
      <c r="BS327" s="198"/>
      <c r="BT327" s="198"/>
      <c r="BU327" s="198"/>
      <c r="BV327" s="198"/>
      <c r="BW327" s="198"/>
      <c r="BX327" s="198"/>
      <c r="BY327" s="198"/>
      <c r="BZ327" s="198"/>
      <c r="CA327" s="198"/>
      <c r="CB327" s="198"/>
      <c r="CC327" s="198"/>
      <c r="CD327" s="198"/>
      <c r="CE327" s="198"/>
      <c r="CF327" s="198"/>
      <c r="CG327" s="198"/>
    </row>
    <row r="328" spans="1:85" s="199" customFormat="1" x14ac:dyDescent="0.25">
      <c r="A328" s="169"/>
      <c r="B328" s="170" t="s">
        <v>94</v>
      </c>
      <c r="C328" s="243"/>
      <c r="D328" s="622"/>
      <c r="E328" s="622"/>
      <c r="F328" s="622"/>
      <c r="G328" s="622"/>
      <c r="H328" s="622"/>
      <c r="I328" s="197"/>
      <c r="J328" s="197"/>
      <c r="K328" s="197"/>
      <c r="L328" s="197"/>
      <c r="M328" s="197"/>
      <c r="N328" s="197"/>
      <c r="O328" s="197"/>
      <c r="P328" s="197"/>
      <c r="Q328" s="197"/>
      <c r="R328" s="197"/>
      <c r="S328" s="197"/>
      <c r="T328" s="198"/>
      <c r="U328" s="198"/>
      <c r="V328" s="198"/>
      <c r="W328" s="198"/>
      <c r="X328" s="198"/>
      <c r="Y328" s="198"/>
      <c r="Z328" s="198"/>
      <c r="AA328" s="198"/>
      <c r="AB328" s="198"/>
      <c r="AC328" s="198"/>
      <c r="AD328" s="198"/>
      <c r="AE328" s="198"/>
      <c r="AF328" s="198"/>
      <c r="AG328" s="198"/>
      <c r="AH328" s="198"/>
      <c r="AI328" s="198"/>
      <c r="AJ328" s="198"/>
      <c r="AK328" s="198"/>
      <c r="AL328" s="198"/>
      <c r="AM328" s="198"/>
      <c r="AN328" s="198"/>
      <c r="AO328" s="198"/>
      <c r="AP328" s="198"/>
      <c r="AQ328" s="198"/>
      <c r="AR328" s="198"/>
      <c r="AS328" s="198"/>
      <c r="AT328" s="198"/>
      <c r="AU328" s="198"/>
      <c r="AV328" s="198"/>
      <c r="AW328" s="198"/>
      <c r="AX328" s="198"/>
      <c r="AY328" s="198"/>
      <c r="AZ328" s="198"/>
      <c r="BA328" s="198"/>
      <c r="BB328" s="198"/>
      <c r="BC328" s="198"/>
      <c r="BD328" s="198"/>
      <c r="BE328" s="198"/>
      <c r="BF328" s="198"/>
      <c r="BG328" s="198"/>
      <c r="BH328" s="198"/>
      <c r="BI328" s="198"/>
      <c r="BJ328" s="198"/>
      <c r="BK328" s="198"/>
      <c r="BL328" s="198"/>
      <c r="BM328" s="198"/>
      <c r="BN328" s="198"/>
      <c r="BO328" s="198"/>
      <c r="BP328" s="198"/>
      <c r="BQ328" s="198"/>
      <c r="BR328" s="198"/>
      <c r="BS328" s="198"/>
      <c r="BT328" s="198"/>
      <c r="BU328" s="198"/>
      <c r="BV328" s="198"/>
      <c r="BW328" s="198"/>
      <c r="BX328" s="198"/>
      <c r="BY328" s="198"/>
      <c r="BZ328" s="198"/>
      <c r="CA328" s="198"/>
      <c r="CB328" s="198"/>
      <c r="CC328" s="198"/>
      <c r="CD328" s="198"/>
      <c r="CE328" s="198"/>
      <c r="CF328" s="198"/>
      <c r="CG328" s="198"/>
    </row>
    <row r="329" spans="1:85" s="199" customFormat="1" x14ac:dyDescent="0.25">
      <c r="A329" s="169"/>
      <c r="B329" s="170" t="s">
        <v>95</v>
      </c>
      <c r="C329" s="243"/>
      <c r="D329" s="622"/>
      <c r="E329" s="622"/>
      <c r="F329" s="622"/>
      <c r="G329" s="622"/>
      <c r="H329" s="622"/>
      <c r="I329" s="197"/>
      <c r="J329" s="197"/>
      <c r="K329" s="197"/>
      <c r="L329" s="197"/>
      <c r="M329" s="197"/>
      <c r="N329" s="197"/>
      <c r="O329" s="197"/>
      <c r="P329" s="197"/>
      <c r="Q329" s="197"/>
      <c r="R329" s="197"/>
      <c r="S329" s="197"/>
      <c r="T329" s="198"/>
      <c r="U329" s="198"/>
      <c r="V329" s="198"/>
      <c r="W329" s="198"/>
      <c r="X329" s="198"/>
      <c r="Y329" s="198"/>
      <c r="Z329" s="198"/>
      <c r="AA329" s="198"/>
      <c r="AB329" s="198"/>
      <c r="AC329" s="198"/>
      <c r="AD329" s="198"/>
      <c r="AE329" s="198"/>
      <c r="AF329" s="198"/>
      <c r="AG329" s="198"/>
      <c r="AH329" s="198"/>
      <c r="AI329" s="198"/>
      <c r="AJ329" s="198"/>
      <c r="AK329" s="198"/>
      <c r="AL329" s="198"/>
      <c r="AM329" s="198"/>
      <c r="AN329" s="198"/>
      <c r="AO329" s="198"/>
      <c r="AP329" s="198"/>
      <c r="AQ329" s="198"/>
      <c r="AR329" s="198"/>
      <c r="AS329" s="198"/>
      <c r="AT329" s="198"/>
      <c r="AU329" s="198"/>
      <c r="AV329" s="198"/>
      <c r="AW329" s="198"/>
      <c r="AX329" s="198"/>
      <c r="AY329" s="198"/>
      <c r="AZ329" s="198"/>
      <c r="BA329" s="198"/>
      <c r="BB329" s="198"/>
      <c r="BC329" s="198"/>
      <c r="BD329" s="198"/>
      <c r="BE329" s="198"/>
      <c r="BF329" s="198"/>
      <c r="BG329" s="198"/>
      <c r="BH329" s="198"/>
      <c r="BI329" s="198"/>
      <c r="BJ329" s="198"/>
      <c r="BK329" s="198"/>
      <c r="BL329" s="198"/>
      <c r="BM329" s="198"/>
      <c r="BN329" s="198"/>
      <c r="BO329" s="198"/>
      <c r="BP329" s="198"/>
      <c r="BQ329" s="198"/>
      <c r="BR329" s="198"/>
      <c r="BS329" s="198"/>
      <c r="BT329" s="198"/>
      <c r="BU329" s="198"/>
      <c r="BV329" s="198"/>
      <c r="BW329" s="198"/>
      <c r="BX329" s="198"/>
      <c r="BY329" s="198"/>
      <c r="BZ329" s="198"/>
      <c r="CA329" s="198"/>
      <c r="CB329" s="198"/>
      <c r="CC329" s="198"/>
      <c r="CD329" s="198"/>
      <c r="CE329" s="198"/>
      <c r="CF329" s="198"/>
      <c r="CG329" s="198"/>
    </row>
    <row r="330" spans="1:85" s="199" customFormat="1" x14ac:dyDescent="0.25">
      <c r="A330" s="169"/>
      <c r="B330" s="170" t="s">
        <v>96</v>
      </c>
      <c r="C330" s="243"/>
      <c r="D330" s="622"/>
      <c r="E330" s="622"/>
      <c r="F330" s="622"/>
      <c r="G330" s="622"/>
      <c r="H330" s="622"/>
      <c r="I330" s="197"/>
      <c r="J330" s="197"/>
      <c r="K330" s="197"/>
      <c r="L330" s="197"/>
      <c r="M330" s="197"/>
      <c r="N330" s="197"/>
      <c r="O330" s="197"/>
      <c r="P330" s="197"/>
      <c r="Q330" s="197"/>
      <c r="R330" s="197"/>
      <c r="S330" s="197"/>
      <c r="T330" s="198"/>
      <c r="U330" s="198"/>
      <c r="V330" s="198"/>
      <c r="W330" s="198"/>
      <c r="X330" s="198"/>
      <c r="Y330" s="198"/>
      <c r="Z330" s="198"/>
      <c r="AA330" s="198"/>
      <c r="AB330" s="198"/>
      <c r="AC330" s="198"/>
      <c r="AD330" s="198"/>
      <c r="AE330" s="198"/>
      <c r="AF330" s="198"/>
      <c r="AG330" s="198"/>
      <c r="AH330" s="198"/>
      <c r="AI330" s="198"/>
      <c r="AJ330" s="198"/>
      <c r="AK330" s="198"/>
      <c r="AL330" s="198"/>
      <c r="AM330" s="198"/>
      <c r="AN330" s="198"/>
      <c r="AO330" s="198"/>
      <c r="AP330" s="198"/>
      <c r="AQ330" s="198"/>
      <c r="AR330" s="198"/>
      <c r="AS330" s="198"/>
      <c r="AT330" s="198"/>
      <c r="AU330" s="198"/>
      <c r="AV330" s="198"/>
      <c r="AW330" s="198"/>
      <c r="AX330" s="198"/>
      <c r="AY330" s="198"/>
      <c r="AZ330" s="198"/>
      <c r="BA330" s="198"/>
      <c r="BB330" s="198"/>
      <c r="BC330" s="198"/>
      <c r="BD330" s="198"/>
      <c r="BE330" s="198"/>
      <c r="BF330" s="198"/>
      <c r="BG330" s="198"/>
      <c r="BH330" s="198"/>
      <c r="BI330" s="198"/>
      <c r="BJ330" s="198"/>
      <c r="BK330" s="198"/>
      <c r="BL330" s="198"/>
      <c r="BM330" s="198"/>
      <c r="BN330" s="198"/>
      <c r="BO330" s="198"/>
      <c r="BP330" s="198"/>
      <c r="BQ330" s="198"/>
      <c r="BR330" s="198"/>
      <c r="BS330" s="198"/>
      <c r="BT330" s="198"/>
      <c r="BU330" s="198"/>
      <c r="BV330" s="198"/>
      <c r="BW330" s="198"/>
      <c r="BX330" s="198"/>
      <c r="BY330" s="198"/>
      <c r="BZ330" s="198"/>
      <c r="CA330" s="198"/>
      <c r="CB330" s="198"/>
      <c r="CC330" s="198"/>
      <c r="CD330" s="198"/>
      <c r="CE330" s="198"/>
      <c r="CF330" s="198"/>
      <c r="CG330" s="198"/>
    </row>
    <row r="331" spans="1:85" s="199" customFormat="1" x14ac:dyDescent="0.25">
      <c r="A331" s="169"/>
      <c r="B331" s="170" t="s">
        <v>22</v>
      </c>
      <c r="C331" s="243"/>
      <c r="D331" s="622"/>
      <c r="E331" s="622"/>
      <c r="F331" s="622"/>
      <c r="G331" s="622"/>
      <c r="H331" s="622"/>
      <c r="I331" s="197"/>
      <c r="J331" s="197"/>
      <c r="K331" s="197"/>
      <c r="L331" s="197"/>
      <c r="M331" s="197"/>
      <c r="N331" s="197"/>
      <c r="O331" s="197"/>
      <c r="P331" s="197"/>
      <c r="Q331" s="197"/>
      <c r="R331" s="197"/>
      <c r="S331" s="197"/>
      <c r="T331" s="198"/>
      <c r="U331" s="198"/>
      <c r="V331" s="198"/>
      <c r="W331" s="198"/>
      <c r="X331" s="198"/>
      <c r="Y331" s="198"/>
      <c r="Z331" s="198"/>
      <c r="AA331" s="198"/>
      <c r="AB331" s="198"/>
      <c r="AC331" s="198"/>
      <c r="AD331" s="198"/>
      <c r="AE331" s="198"/>
      <c r="AF331" s="198"/>
      <c r="AG331" s="198"/>
      <c r="AH331" s="198"/>
      <c r="AI331" s="198"/>
      <c r="AJ331" s="198"/>
      <c r="AK331" s="198"/>
      <c r="AL331" s="198"/>
      <c r="AM331" s="198"/>
      <c r="AN331" s="198"/>
      <c r="AO331" s="198"/>
      <c r="AP331" s="198"/>
      <c r="AQ331" s="198"/>
      <c r="AR331" s="198"/>
      <c r="AS331" s="198"/>
      <c r="AT331" s="198"/>
      <c r="AU331" s="198"/>
      <c r="AV331" s="198"/>
      <c r="AW331" s="198"/>
      <c r="AX331" s="198"/>
      <c r="AY331" s="198"/>
      <c r="AZ331" s="198"/>
      <c r="BA331" s="198"/>
      <c r="BB331" s="198"/>
      <c r="BC331" s="198"/>
      <c r="BD331" s="198"/>
      <c r="BE331" s="198"/>
      <c r="BF331" s="198"/>
      <c r="BG331" s="198"/>
      <c r="BH331" s="198"/>
      <c r="BI331" s="198"/>
      <c r="BJ331" s="198"/>
      <c r="BK331" s="198"/>
      <c r="BL331" s="198"/>
      <c r="BM331" s="198"/>
      <c r="BN331" s="198"/>
      <c r="BO331" s="198"/>
      <c r="BP331" s="198"/>
      <c r="BQ331" s="198"/>
      <c r="BR331" s="198"/>
      <c r="BS331" s="198"/>
      <c r="BT331" s="198"/>
      <c r="BU331" s="198"/>
      <c r="BV331" s="198"/>
      <c r="BW331" s="198"/>
      <c r="BX331" s="198"/>
      <c r="BY331" s="198"/>
      <c r="BZ331" s="198"/>
      <c r="CA331" s="198"/>
      <c r="CB331" s="198"/>
      <c r="CC331" s="198"/>
      <c r="CD331" s="198"/>
      <c r="CE331" s="198"/>
      <c r="CF331" s="198"/>
      <c r="CG331" s="198"/>
    </row>
    <row r="332" spans="1:85" s="199" customFormat="1" ht="15.6" x14ac:dyDescent="0.3">
      <c r="A332" s="979" t="s">
        <v>97</v>
      </c>
      <c r="B332" s="980"/>
      <c r="C332" s="625"/>
      <c r="D332" s="624"/>
      <c r="E332" s="624"/>
      <c r="F332" s="624"/>
      <c r="G332" s="624"/>
      <c r="H332" s="624"/>
      <c r="I332" s="197"/>
      <c r="J332" s="197"/>
      <c r="K332" s="197"/>
      <c r="L332" s="197"/>
      <c r="M332" s="197"/>
      <c r="N332" s="197"/>
      <c r="O332" s="197"/>
      <c r="P332" s="197"/>
      <c r="Q332" s="197"/>
      <c r="R332" s="197"/>
      <c r="S332" s="197"/>
      <c r="T332" s="198"/>
      <c r="U332" s="198"/>
      <c r="V332" s="198"/>
      <c r="W332" s="198"/>
      <c r="X332" s="198"/>
      <c r="Y332" s="198"/>
      <c r="Z332" s="198"/>
      <c r="AA332" s="198"/>
      <c r="AB332" s="198"/>
      <c r="AC332" s="198"/>
      <c r="AD332" s="198"/>
      <c r="AE332" s="198"/>
      <c r="AF332" s="198"/>
      <c r="AG332" s="198"/>
      <c r="AH332" s="198"/>
      <c r="AI332" s="198"/>
      <c r="AJ332" s="198"/>
      <c r="AK332" s="198"/>
      <c r="AL332" s="198"/>
      <c r="AM332" s="198"/>
      <c r="AN332" s="198"/>
      <c r="AO332" s="198"/>
      <c r="AP332" s="198"/>
      <c r="AQ332" s="198"/>
      <c r="AR332" s="198"/>
      <c r="AS332" s="198"/>
      <c r="AT332" s="198"/>
      <c r="AU332" s="198"/>
      <c r="AV332" s="198"/>
      <c r="AW332" s="198"/>
      <c r="AX332" s="198"/>
      <c r="AY332" s="198"/>
      <c r="AZ332" s="198"/>
      <c r="BA332" s="198"/>
      <c r="BB332" s="198"/>
      <c r="BC332" s="198"/>
      <c r="BD332" s="198"/>
      <c r="BE332" s="198"/>
      <c r="BF332" s="198"/>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198"/>
      <c r="CF332" s="198"/>
      <c r="CG332" s="198"/>
    </row>
    <row r="333" spans="1:85" s="199" customFormat="1" x14ac:dyDescent="0.25">
      <c r="A333" s="981"/>
      <c r="B333" s="982" t="s">
        <v>98</v>
      </c>
      <c r="C333" s="243"/>
      <c r="D333" s="622"/>
      <c r="E333" s="622"/>
      <c r="F333" s="622"/>
      <c r="G333" s="622"/>
      <c r="H333" s="622"/>
      <c r="I333" s="197"/>
      <c r="J333" s="197"/>
      <c r="K333" s="197"/>
      <c r="L333" s="197"/>
      <c r="M333" s="197"/>
      <c r="N333" s="197"/>
      <c r="O333" s="197"/>
      <c r="P333" s="197"/>
      <c r="Q333" s="197"/>
      <c r="R333" s="197"/>
      <c r="S333" s="197"/>
      <c r="T333" s="198"/>
      <c r="U333" s="198"/>
      <c r="V333" s="198"/>
      <c r="W333" s="198"/>
      <c r="X333" s="198"/>
      <c r="Y333" s="198"/>
      <c r="Z333" s="198"/>
      <c r="AA333" s="198"/>
      <c r="AB333" s="198"/>
      <c r="AC333" s="198"/>
      <c r="AD333" s="198"/>
      <c r="AE333" s="198"/>
      <c r="AF333" s="198"/>
      <c r="AG333" s="198"/>
      <c r="AH333" s="198"/>
      <c r="AI333" s="198"/>
      <c r="AJ333" s="198"/>
      <c r="AK333" s="198"/>
      <c r="AL333" s="198"/>
      <c r="AM333" s="198"/>
      <c r="AN333" s="198"/>
      <c r="AO333" s="198"/>
      <c r="AP333" s="198"/>
      <c r="AQ333" s="198"/>
      <c r="AR333" s="198"/>
      <c r="AS333" s="198"/>
      <c r="AT333" s="198"/>
      <c r="AU333" s="198"/>
      <c r="AV333" s="198"/>
      <c r="AW333" s="198"/>
      <c r="AX333" s="198"/>
      <c r="AY333" s="198"/>
      <c r="AZ333" s="198"/>
      <c r="BA333" s="198"/>
      <c r="BB333" s="198"/>
      <c r="BC333" s="198"/>
      <c r="BD333" s="198"/>
      <c r="BE333" s="198"/>
      <c r="BF333" s="198"/>
      <c r="BG333" s="198"/>
      <c r="BH333" s="198"/>
      <c r="BI333" s="198"/>
      <c r="BJ333" s="198"/>
      <c r="BK333" s="198"/>
      <c r="BL333" s="198"/>
      <c r="BM333" s="198"/>
      <c r="BN333" s="198"/>
      <c r="BO333" s="198"/>
      <c r="BP333" s="198"/>
      <c r="BQ333" s="198"/>
      <c r="BR333" s="198"/>
      <c r="BS333" s="198"/>
      <c r="BT333" s="198"/>
      <c r="BU333" s="198"/>
      <c r="BV333" s="198"/>
      <c r="BW333" s="198"/>
      <c r="BX333" s="198"/>
      <c r="BY333" s="198"/>
      <c r="BZ333" s="198"/>
      <c r="CA333" s="198"/>
      <c r="CB333" s="198"/>
      <c r="CC333" s="198"/>
      <c r="CD333" s="198"/>
      <c r="CE333" s="198"/>
      <c r="CF333" s="198"/>
      <c r="CG333" s="198"/>
    </row>
    <row r="334" spans="1:85" s="199" customFormat="1" x14ac:dyDescent="0.25">
      <c r="A334" s="981"/>
      <c r="B334" s="982" t="s">
        <v>99</v>
      </c>
      <c r="C334" s="626"/>
      <c r="D334" s="622"/>
      <c r="E334" s="622"/>
      <c r="F334" s="622"/>
      <c r="G334" s="622"/>
      <c r="H334" s="622"/>
      <c r="I334" s="197"/>
      <c r="J334" s="197"/>
      <c r="K334" s="197"/>
      <c r="L334" s="197"/>
      <c r="M334" s="197"/>
      <c r="N334" s="197"/>
      <c r="O334" s="197"/>
      <c r="P334" s="197"/>
      <c r="Q334" s="197"/>
      <c r="R334" s="197"/>
      <c r="S334" s="197"/>
      <c r="T334" s="198"/>
      <c r="U334" s="198"/>
      <c r="V334" s="198"/>
      <c r="W334" s="198"/>
      <c r="X334" s="198"/>
      <c r="Y334" s="198"/>
      <c r="Z334" s="198"/>
      <c r="AA334" s="198"/>
      <c r="AB334" s="198"/>
      <c r="AC334" s="198"/>
      <c r="AD334" s="198"/>
      <c r="AE334" s="198"/>
      <c r="AF334" s="198"/>
      <c r="AG334" s="198"/>
      <c r="AH334" s="198"/>
      <c r="AI334" s="198"/>
      <c r="AJ334" s="198"/>
      <c r="AK334" s="198"/>
      <c r="AL334" s="198"/>
      <c r="AM334" s="198"/>
      <c r="AN334" s="198"/>
      <c r="AO334" s="198"/>
      <c r="AP334" s="198"/>
      <c r="AQ334" s="198"/>
      <c r="AR334" s="198"/>
      <c r="AS334" s="198"/>
      <c r="AT334" s="198"/>
      <c r="AU334" s="198"/>
      <c r="AV334" s="198"/>
      <c r="AW334" s="198"/>
      <c r="AX334" s="198"/>
      <c r="AY334" s="198"/>
      <c r="AZ334" s="198"/>
      <c r="BA334" s="198"/>
      <c r="BB334" s="198"/>
      <c r="BC334" s="198"/>
      <c r="BD334" s="198"/>
      <c r="BE334" s="198"/>
      <c r="BF334" s="198"/>
      <c r="BG334" s="198"/>
      <c r="BH334" s="198"/>
      <c r="BI334" s="198"/>
      <c r="BJ334" s="198"/>
      <c r="BK334" s="198"/>
      <c r="BL334" s="198"/>
      <c r="BM334" s="198"/>
      <c r="BN334" s="198"/>
      <c r="BO334" s="198"/>
      <c r="BP334" s="198"/>
      <c r="BQ334" s="198"/>
      <c r="BR334" s="198"/>
      <c r="BS334" s="198"/>
      <c r="BT334" s="198"/>
      <c r="BU334" s="198"/>
      <c r="BV334" s="198"/>
      <c r="BW334" s="198"/>
      <c r="BX334" s="198"/>
      <c r="BY334" s="198"/>
      <c r="BZ334" s="198"/>
      <c r="CA334" s="198"/>
      <c r="CB334" s="198"/>
      <c r="CC334" s="198"/>
      <c r="CD334" s="198"/>
      <c r="CE334" s="198"/>
      <c r="CF334" s="198"/>
      <c r="CG334" s="198"/>
    </row>
    <row r="335" spans="1:85" s="199" customFormat="1" x14ac:dyDescent="0.25">
      <c r="A335" s="981"/>
      <c r="B335" s="982" t="s">
        <v>449</v>
      </c>
      <c r="C335" s="627"/>
      <c r="D335" s="622"/>
      <c r="E335" s="622"/>
      <c r="F335" s="622"/>
      <c r="G335" s="622"/>
      <c r="H335" s="622"/>
      <c r="I335" s="197"/>
      <c r="J335" s="197"/>
      <c r="K335" s="197"/>
      <c r="L335" s="197"/>
      <c r="M335" s="197"/>
      <c r="N335" s="197"/>
      <c r="O335" s="197"/>
      <c r="P335" s="197"/>
      <c r="Q335" s="197"/>
      <c r="R335" s="197"/>
      <c r="S335" s="197"/>
      <c r="T335" s="198"/>
      <c r="U335" s="198"/>
      <c r="V335" s="198"/>
      <c r="W335" s="198"/>
      <c r="X335" s="198"/>
      <c r="Y335" s="198"/>
      <c r="Z335" s="198"/>
      <c r="AA335" s="198"/>
      <c r="AB335" s="198"/>
      <c r="AC335" s="198"/>
      <c r="AD335" s="198"/>
      <c r="AE335" s="198"/>
      <c r="AF335" s="198"/>
      <c r="AG335" s="198"/>
      <c r="AH335" s="198"/>
      <c r="AI335" s="198"/>
      <c r="AJ335" s="198"/>
      <c r="AK335" s="198"/>
      <c r="AL335" s="198"/>
      <c r="AM335" s="198"/>
      <c r="AN335" s="198"/>
      <c r="AO335" s="198"/>
      <c r="AP335" s="198"/>
      <c r="AQ335" s="198"/>
      <c r="AR335" s="198"/>
      <c r="AS335" s="198"/>
      <c r="AT335" s="198"/>
      <c r="AU335" s="198"/>
      <c r="AV335" s="198"/>
      <c r="AW335" s="198"/>
      <c r="AX335" s="198"/>
      <c r="AY335" s="198"/>
      <c r="AZ335" s="198"/>
      <c r="BA335" s="198"/>
      <c r="BB335" s="198"/>
      <c r="BC335" s="198"/>
      <c r="BD335" s="198"/>
      <c r="BE335" s="198"/>
      <c r="BF335" s="198"/>
      <c r="BG335" s="198"/>
      <c r="BH335" s="198"/>
      <c r="BI335" s="198"/>
      <c r="BJ335" s="198"/>
      <c r="BK335" s="198"/>
      <c r="BL335" s="198"/>
      <c r="BM335" s="198"/>
      <c r="BN335" s="198"/>
      <c r="BO335" s="198"/>
      <c r="BP335" s="198"/>
      <c r="BQ335" s="198"/>
      <c r="BR335" s="198"/>
      <c r="BS335" s="198"/>
      <c r="BT335" s="198"/>
      <c r="BU335" s="198"/>
      <c r="BV335" s="198"/>
      <c r="BW335" s="198"/>
      <c r="BX335" s="198"/>
      <c r="BY335" s="198"/>
      <c r="BZ335" s="198"/>
      <c r="CA335" s="198"/>
      <c r="CB335" s="198"/>
      <c r="CC335" s="198"/>
      <c r="CD335" s="198"/>
      <c r="CE335" s="198"/>
      <c r="CF335" s="198"/>
      <c r="CG335" s="198"/>
    </row>
    <row r="336" spans="1:85" s="199" customFormat="1" x14ac:dyDescent="0.25">
      <c r="A336" s="981"/>
      <c r="B336" s="982" t="s">
        <v>102</v>
      </c>
      <c r="C336" s="627"/>
      <c r="D336" s="622"/>
      <c r="E336" s="622"/>
      <c r="F336" s="622"/>
      <c r="G336" s="622"/>
      <c r="H336" s="622"/>
      <c r="I336" s="197"/>
      <c r="J336" s="197"/>
      <c r="K336" s="197"/>
      <c r="L336" s="197"/>
      <c r="M336" s="197"/>
      <c r="N336" s="197"/>
      <c r="O336" s="197"/>
      <c r="P336" s="197"/>
      <c r="Q336" s="197"/>
      <c r="R336" s="197"/>
      <c r="S336" s="197"/>
      <c r="T336" s="198"/>
      <c r="U336" s="198"/>
      <c r="V336" s="198"/>
      <c r="W336" s="198"/>
      <c r="X336" s="198"/>
      <c r="Y336" s="198"/>
      <c r="Z336" s="198"/>
      <c r="AA336" s="198"/>
      <c r="AB336" s="198"/>
      <c r="AC336" s="198"/>
      <c r="AD336" s="198"/>
      <c r="AE336" s="198"/>
      <c r="AF336" s="198"/>
      <c r="AG336" s="198"/>
      <c r="AH336" s="198"/>
      <c r="AI336" s="198"/>
      <c r="AJ336" s="198"/>
      <c r="AK336" s="198"/>
      <c r="AL336" s="198"/>
      <c r="AM336" s="198"/>
      <c r="AN336" s="198"/>
      <c r="AO336" s="198"/>
      <c r="AP336" s="198"/>
      <c r="AQ336" s="198"/>
      <c r="AR336" s="198"/>
      <c r="AS336" s="198"/>
      <c r="AT336" s="198"/>
      <c r="AU336" s="198"/>
      <c r="AV336" s="198"/>
      <c r="AW336" s="198"/>
      <c r="AX336" s="198"/>
      <c r="AY336" s="198"/>
      <c r="AZ336" s="198"/>
      <c r="BA336" s="198"/>
      <c r="BB336" s="198"/>
      <c r="BC336" s="198"/>
      <c r="BD336" s="198"/>
      <c r="BE336" s="198"/>
      <c r="BF336" s="198"/>
      <c r="BG336" s="198"/>
      <c r="BH336" s="198"/>
      <c r="BI336" s="198"/>
      <c r="BJ336" s="198"/>
      <c r="BK336" s="198"/>
      <c r="BL336" s="198"/>
      <c r="BM336" s="198"/>
      <c r="BN336" s="198"/>
      <c r="BO336" s="198"/>
      <c r="BP336" s="198"/>
      <c r="BQ336" s="198"/>
      <c r="BR336" s="198"/>
      <c r="BS336" s="198"/>
      <c r="BT336" s="198"/>
      <c r="BU336" s="198"/>
      <c r="BV336" s="198"/>
      <c r="BW336" s="198"/>
      <c r="BX336" s="198"/>
      <c r="BY336" s="198"/>
      <c r="BZ336" s="198"/>
      <c r="CA336" s="198"/>
      <c r="CB336" s="198"/>
      <c r="CC336" s="198"/>
      <c r="CD336" s="198"/>
      <c r="CE336" s="198"/>
      <c r="CF336" s="198"/>
      <c r="CG336" s="198"/>
    </row>
    <row r="337" spans="1:85" s="199" customFormat="1" x14ac:dyDescent="0.25">
      <c r="A337" s="981"/>
      <c r="B337" s="982" t="s">
        <v>100</v>
      </c>
      <c r="C337" s="627"/>
      <c r="D337" s="622"/>
      <c r="E337" s="622"/>
      <c r="F337" s="622"/>
      <c r="G337" s="622"/>
      <c r="H337" s="622"/>
      <c r="I337" s="197"/>
      <c r="J337" s="197"/>
      <c r="K337" s="197"/>
      <c r="L337" s="197"/>
      <c r="M337" s="197"/>
      <c r="N337" s="197"/>
      <c r="O337" s="197"/>
      <c r="P337" s="197"/>
      <c r="Q337" s="197"/>
      <c r="R337" s="197"/>
      <c r="S337" s="197"/>
      <c r="T337" s="198"/>
      <c r="U337" s="198"/>
      <c r="V337" s="198"/>
      <c r="W337" s="198"/>
      <c r="X337" s="198"/>
      <c r="Y337" s="198"/>
      <c r="Z337" s="198"/>
      <c r="AA337" s="198"/>
      <c r="AB337" s="198"/>
      <c r="AC337" s="198"/>
      <c r="AD337" s="198"/>
      <c r="AE337" s="198"/>
      <c r="AF337" s="198"/>
      <c r="AG337" s="198"/>
      <c r="AH337" s="198"/>
      <c r="AI337" s="198"/>
      <c r="AJ337" s="198"/>
      <c r="AK337" s="198"/>
      <c r="AL337" s="198"/>
      <c r="AM337" s="198"/>
      <c r="AN337" s="198"/>
      <c r="AO337" s="198"/>
      <c r="AP337" s="198"/>
      <c r="AQ337" s="198"/>
      <c r="AR337" s="198"/>
      <c r="AS337" s="198"/>
      <c r="AT337" s="198"/>
      <c r="AU337" s="198"/>
      <c r="AV337" s="198"/>
      <c r="AW337" s="198"/>
      <c r="AX337" s="198"/>
      <c r="AY337" s="198"/>
      <c r="AZ337" s="198"/>
      <c r="BA337" s="198"/>
      <c r="BB337" s="198"/>
      <c r="BC337" s="198"/>
      <c r="BD337" s="198"/>
      <c r="BE337" s="198"/>
      <c r="BF337" s="198"/>
      <c r="BG337" s="198"/>
      <c r="BH337" s="198"/>
      <c r="BI337" s="198"/>
      <c r="BJ337" s="198"/>
      <c r="BK337" s="198"/>
      <c r="BL337" s="198"/>
      <c r="BM337" s="198"/>
      <c r="BN337" s="198"/>
      <c r="BO337" s="198"/>
      <c r="BP337" s="198"/>
      <c r="BQ337" s="198"/>
      <c r="BR337" s="198"/>
      <c r="BS337" s="198"/>
      <c r="BT337" s="198"/>
      <c r="BU337" s="198"/>
      <c r="BV337" s="198"/>
      <c r="BW337" s="198"/>
      <c r="BX337" s="198"/>
      <c r="BY337" s="198"/>
      <c r="BZ337" s="198"/>
      <c r="CA337" s="198"/>
      <c r="CB337" s="198"/>
      <c r="CC337" s="198"/>
      <c r="CD337" s="198"/>
      <c r="CE337" s="198"/>
      <c r="CF337" s="198"/>
      <c r="CG337" s="198"/>
    </row>
    <row r="338" spans="1:85" s="199" customFormat="1" x14ac:dyDescent="0.25">
      <c r="A338" s="981"/>
      <c r="B338" s="982" t="s">
        <v>101</v>
      </c>
      <c r="C338" s="627"/>
      <c r="D338" s="622"/>
      <c r="E338" s="622"/>
      <c r="F338" s="622"/>
      <c r="G338" s="622"/>
      <c r="H338" s="622"/>
      <c r="I338" s="197"/>
      <c r="J338" s="197"/>
      <c r="K338" s="197"/>
      <c r="L338" s="197"/>
      <c r="M338" s="197"/>
      <c r="N338" s="197"/>
      <c r="O338" s="197"/>
      <c r="P338" s="197"/>
      <c r="Q338" s="197"/>
      <c r="R338" s="197"/>
      <c r="S338" s="197"/>
      <c r="T338" s="198"/>
      <c r="U338" s="198"/>
      <c r="V338" s="198"/>
      <c r="W338" s="198"/>
      <c r="X338" s="198"/>
      <c r="Y338" s="198"/>
      <c r="Z338" s="198"/>
      <c r="AA338" s="198"/>
      <c r="AB338" s="198"/>
      <c r="AC338" s="198"/>
      <c r="AD338" s="198"/>
      <c r="AE338" s="198"/>
      <c r="AF338" s="198"/>
      <c r="AG338" s="198"/>
      <c r="AH338" s="198"/>
      <c r="AI338" s="198"/>
      <c r="AJ338" s="198"/>
      <c r="AK338" s="198"/>
      <c r="AL338" s="198"/>
      <c r="AM338" s="198"/>
      <c r="AN338" s="198"/>
      <c r="AO338" s="198"/>
      <c r="AP338" s="198"/>
      <c r="AQ338" s="198"/>
      <c r="AR338" s="198"/>
      <c r="AS338" s="198"/>
      <c r="AT338" s="198"/>
      <c r="AU338" s="198"/>
      <c r="AV338" s="198"/>
      <c r="AW338" s="198"/>
      <c r="AX338" s="198"/>
      <c r="AY338" s="198"/>
      <c r="AZ338" s="198"/>
      <c r="BA338" s="198"/>
      <c r="BB338" s="198"/>
      <c r="BC338" s="198"/>
      <c r="BD338" s="198"/>
      <c r="BE338" s="198"/>
      <c r="BF338" s="198"/>
      <c r="BG338" s="198"/>
      <c r="BH338" s="198"/>
      <c r="BI338" s="198"/>
      <c r="BJ338" s="198"/>
      <c r="BK338" s="198"/>
      <c r="BL338" s="198"/>
      <c r="BM338" s="198"/>
      <c r="BN338" s="198"/>
      <c r="BO338" s="198"/>
      <c r="BP338" s="198"/>
      <c r="BQ338" s="198"/>
      <c r="BR338" s="198"/>
      <c r="BS338" s="198"/>
      <c r="BT338" s="198"/>
      <c r="BU338" s="198"/>
      <c r="BV338" s="198"/>
      <c r="BW338" s="198"/>
      <c r="BX338" s="198"/>
      <c r="BY338" s="198"/>
      <c r="BZ338" s="198"/>
      <c r="CA338" s="198"/>
      <c r="CB338" s="198"/>
      <c r="CC338" s="198"/>
      <c r="CD338" s="198"/>
      <c r="CE338" s="198"/>
      <c r="CF338" s="198"/>
      <c r="CG338" s="198"/>
    </row>
    <row r="339" spans="1:85" s="199" customFormat="1" x14ac:dyDescent="0.25">
      <c r="A339" s="981"/>
      <c r="B339" s="982" t="s">
        <v>236</v>
      </c>
      <c r="C339" s="627"/>
      <c r="D339" s="622"/>
      <c r="E339" s="622"/>
      <c r="F339" s="622"/>
      <c r="G339" s="622"/>
      <c r="H339" s="622"/>
      <c r="I339" s="197"/>
      <c r="J339" s="197"/>
      <c r="K339" s="197"/>
      <c r="L339" s="197"/>
      <c r="M339" s="197"/>
      <c r="N339" s="197"/>
      <c r="O339" s="197"/>
      <c r="P339" s="197"/>
      <c r="Q339" s="197"/>
      <c r="R339" s="197"/>
      <c r="S339" s="197"/>
      <c r="T339" s="198"/>
      <c r="U339" s="198"/>
      <c r="V339" s="198"/>
      <c r="W339" s="198"/>
      <c r="X339" s="198"/>
      <c r="Y339" s="198"/>
      <c r="Z339" s="198"/>
      <c r="AA339" s="198"/>
      <c r="AB339" s="198"/>
      <c r="AC339" s="198"/>
      <c r="AD339" s="198"/>
      <c r="AE339" s="198"/>
      <c r="AF339" s="198"/>
      <c r="AG339" s="198"/>
      <c r="AH339" s="198"/>
      <c r="AI339" s="198"/>
      <c r="AJ339" s="198"/>
      <c r="AK339" s="198"/>
      <c r="AL339" s="198"/>
      <c r="AM339" s="198"/>
      <c r="AN339" s="198"/>
      <c r="AO339" s="198"/>
      <c r="AP339" s="198"/>
      <c r="AQ339" s="198"/>
      <c r="AR339" s="198"/>
      <c r="AS339" s="198"/>
      <c r="AT339" s="198"/>
      <c r="AU339" s="198"/>
      <c r="AV339" s="198"/>
      <c r="AW339" s="198"/>
      <c r="AX339" s="198"/>
      <c r="AY339" s="198"/>
      <c r="AZ339" s="198"/>
      <c r="BA339" s="198"/>
      <c r="BB339" s="198"/>
      <c r="BC339" s="198"/>
      <c r="BD339" s="198"/>
      <c r="BE339" s="198"/>
      <c r="BF339" s="198"/>
      <c r="BG339" s="198"/>
      <c r="BH339" s="198"/>
      <c r="BI339" s="198"/>
      <c r="BJ339" s="198"/>
      <c r="BK339" s="198"/>
      <c r="BL339" s="198"/>
      <c r="BM339" s="198"/>
      <c r="BN339" s="198"/>
      <c r="BO339" s="198"/>
      <c r="BP339" s="198"/>
      <c r="BQ339" s="198"/>
      <c r="BR339" s="198"/>
      <c r="BS339" s="198"/>
      <c r="BT339" s="198"/>
      <c r="BU339" s="198"/>
      <c r="BV339" s="198"/>
      <c r="BW339" s="198"/>
      <c r="BX339" s="198"/>
      <c r="BY339" s="198"/>
      <c r="BZ339" s="198"/>
      <c r="CA339" s="198"/>
      <c r="CB339" s="198"/>
      <c r="CC339" s="198"/>
      <c r="CD339" s="198"/>
      <c r="CE339" s="198"/>
      <c r="CF339" s="198"/>
      <c r="CG339" s="198"/>
    </row>
    <row r="340" spans="1:85" s="199" customFormat="1" x14ac:dyDescent="0.25">
      <c r="A340" s="981"/>
      <c r="B340" s="983" t="s">
        <v>22</v>
      </c>
      <c r="C340" s="628"/>
      <c r="D340" s="622"/>
      <c r="E340" s="622"/>
      <c r="F340" s="622"/>
      <c r="G340" s="622"/>
      <c r="H340" s="622"/>
      <c r="I340" s="197"/>
      <c r="J340" s="197"/>
      <c r="K340" s="197"/>
      <c r="L340" s="197"/>
      <c r="M340" s="197"/>
      <c r="N340" s="197"/>
      <c r="O340" s="197"/>
      <c r="P340" s="197"/>
      <c r="Q340" s="197"/>
      <c r="R340" s="197"/>
      <c r="S340" s="197"/>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c r="BD340" s="198"/>
      <c r="BE340" s="198"/>
      <c r="BF340" s="198"/>
      <c r="BG340" s="198"/>
      <c r="BH340" s="198"/>
      <c r="BI340" s="198"/>
      <c r="BJ340" s="198"/>
      <c r="BK340" s="198"/>
      <c r="BL340" s="198"/>
      <c r="BM340" s="198"/>
      <c r="BN340" s="198"/>
      <c r="BO340" s="198"/>
      <c r="BP340" s="198"/>
      <c r="BQ340" s="198"/>
      <c r="BR340" s="198"/>
      <c r="BS340" s="198"/>
      <c r="BT340" s="198"/>
      <c r="BU340" s="198"/>
      <c r="BV340" s="198"/>
      <c r="BW340" s="198"/>
      <c r="BX340" s="198"/>
      <c r="BY340" s="198"/>
      <c r="BZ340" s="198"/>
      <c r="CA340" s="198"/>
      <c r="CB340" s="198"/>
      <c r="CC340" s="198"/>
      <c r="CD340" s="198"/>
      <c r="CE340" s="198"/>
      <c r="CF340" s="198"/>
      <c r="CG340" s="198"/>
    </row>
    <row r="341" spans="1:85" s="199" customFormat="1" ht="15.6" x14ac:dyDescent="0.3">
      <c r="A341" s="629" t="s">
        <v>81</v>
      </c>
      <c r="B341" s="133"/>
      <c r="C341" s="630"/>
      <c r="D341" s="631"/>
      <c r="E341" s="631"/>
      <c r="F341" s="631"/>
      <c r="G341" s="631"/>
      <c r="H341" s="631"/>
      <c r="I341" s="197"/>
      <c r="J341" s="197"/>
      <c r="K341" s="197"/>
      <c r="L341" s="197"/>
      <c r="M341" s="197"/>
      <c r="N341" s="197"/>
      <c r="O341" s="197"/>
      <c r="P341" s="197"/>
      <c r="Q341" s="197"/>
      <c r="R341" s="197"/>
      <c r="S341" s="197"/>
      <c r="T341" s="198"/>
      <c r="U341" s="198"/>
      <c r="V341" s="198"/>
      <c r="W341" s="198"/>
      <c r="X341" s="198"/>
      <c r="Y341" s="198"/>
      <c r="Z341" s="198"/>
      <c r="AA341" s="198"/>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8"/>
      <c r="AY341" s="198"/>
      <c r="AZ341" s="198"/>
      <c r="BA341" s="198"/>
      <c r="BB341" s="198"/>
      <c r="BC341" s="198"/>
      <c r="BD341" s="198"/>
      <c r="BE341" s="198"/>
      <c r="BF341" s="198"/>
      <c r="BG341" s="198"/>
      <c r="BH341" s="198"/>
      <c r="BI341" s="198"/>
      <c r="BJ341" s="198"/>
      <c r="BK341" s="198"/>
      <c r="BL341" s="198"/>
      <c r="BM341" s="198"/>
      <c r="BN341" s="198"/>
      <c r="BO341" s="198"/>
      <c r="BP341" s="198"/>
      <c r="BQ341" s="198"/>
      <c r="BR341" s="198"/>
      <c r="BS341" s="198"/>
      <c r="BT341" s="198"/>
      <c r="BU341" s="198"/>
      <c r="BV341" s="198"/>
      <c r="BW341" s="198"/>
      <c r="BX341" s="198"/>
      <c r="BY341" s="198"/>
      <c r="BZ341" s="198"/>
      <c r="CA341" s="198"/>
      <c r="CB341" s="198"/>
      <c r="CC341" s="198"/>
      <c r="CD341" s="198"/>
      <c r="CE341" s="198"/>
      <c r="CF341" s="198"/>
      <c r="CG341" s="198"/>
    </row>
    <row r="342" spans="1:85" s="199" customFormat="1" x14ac:dyDescent="0.25">
      <c r="A342" s="189"/>
      <c r="B342" s="632" t="s">
        <v>54</v>
      </c>
      <c r="C342" s="633"/>
      <c r="D342" s="634"/>
      <c r="E342" s="612"/>
      <c r="F342" s="612"/>
      <c r="G342" s="612"/>
      <c r="H342" s="612"/>
      <c r="I342" s="197"/>
      <c r="J342" s="197"/>
      <c r="K342" s="197"/>
      <c r="L342" s="197"/>
      <c r="M342" s="197"/>
      <c r="N342" s="197"/>
      <c r="O342" s="197"/>
      <c r="P342" s="197"/>
      <c r="Q342" s="197"/>
      <c r="R342" s="197"/>
      <c r="S342" s="197"/>
      <c r="T342" s="198"/>
      <c r="U342" s="198"/>
      <c r="V342" s="198"/>
      <c r="W342" s="198"/>
      <c r="X342" s="198"/>
      <c r="Y342" s="198"/>
      <c r="Z342" s="198"/>
      <c r="AA342" s="198"/>
      <c r="AB342" s="198"/>
      <c r="AC342" s="198"/>
      <c r="AD342" s="198"/>
      <c r="AE342" s="198"/>
      <c r="AF342" s="198"/>
      <c r="AG342" s="198"/>
      <c r="AH342" s="198"/>
      <c r="AI342" s="198"/>
      <c r="AJ342" s="198"/>
      <c r="AK342" s="198"/>
      <c r="AL342" s="198"/>
      <c r="AM342" s="198"/>
      <c r="AN342" s="198"/>
      <c r="AO342" s="198"/>
      <c r="AP342" s="198"/>
      <c r="AQ342" s="198"/>
      <c r="AR342" s="198"/>
      <c r="AS342" s="198"/>
      <c r="AT342" s="198"/>
      <c r="AU342" s="198"/>
      <c r="AV342" s="198"/>
      <c r="AW342" s="198"/>
      <c r="AX342" s="198"/>
      <c r="AY342" s="198"/>
      <c r="AZ342" s="198"/>
      <c r="BA342" s="198"/>
      <c r="BB342" s="198"/>
      <c r="BC342" s="198"/>
      <c r="BD342" s="198"/>
      <c r="BE342" s="198"/>
      <c r="BF342" s="198"/>
      <c r="BG342" s="198"/>
      <c r="BH342" s="198"/>
      <c r="BI342" s="198"/>
      <c r="BJ342" s="198"/>
      <c r="BK342" s="198"/>
      <c r="BL342" s="198"/>
      <c r="BM342" s="198"/>
      <c r="BN342" s="198"/>
      <c r="BO342" s="198"/>
      <c r="BP342" s="198"/>
      <c r="BQ342" s="198"/>
      <c r="BR342" s="198"/>
      <c r="BS342" s="198"/>
      <c r="BT342" s="198"/>
      <c r="BU342" s="198"/>
      <c r="BV342" s="198"/>
      <c r="BW342" s="198"/>
      <c r="BX342" s="198"/>
      <c r="BY342" s="198"/>
      <c r="BZ342" s="198"/>
      <c r="CA342" s="198"/>
      <c r="CB342" s="198"/>
      <c r="CC342" s="198"/>
      <c r="CD342" s="198"/>
      <c r="CE342" s="198"/>
      <c r="CF342" s="198"/>
      <c r="CG342" s="198"/>
    </row>
    <row r="343" spans="1:85" s="199" customFormat="1" x14ac:dyDescent="0.25">
      <c r="A343" s="189"/>
      <c r="B343" s="190" t="s">
        <v>236</v>
      </c>
      <c r="C343" s="633"/>
      <c r="D343" s="634"/>
      <c r="E343" s="612"/>
      <c r="F343" s="612"/>
      <c r="G343" s="612"/>
      <c r="H343" s="612"/>
      <c r="I343" s="197"/>
      <c r="J343" s="197"/>
      <c r="K343" s="197"/>
      <c r="L343" s="197"/>
      <c r="M343" s="197"/>
      <c r="N343" s="197"/>
      <c r="O343" s="197"/>
      <c r="P343" s="197"/>
      <c r="Q343" s="197"/>
      <c r="R343" s="197"/>
      <c r="S343" s="197"/>
      <c r="T343" s="198"/>
      <c r="U343" s="198"/>
      <c r="V343" s="198"/>
      <c r="W343" s="198"/>
      <c r="X343" s="198"/>
      <c r="Y343" s="198"/>
      <c r="Z343" s="198"/>
      <c r="AA343" s="198"/>
      <c r="AB343" s="198"/>
      <c r="AC343" s="198"/>
      <c r="AD343" s="198"/>
      <c r="AE343" s="198"/>
      <c r="AF343" s="198"/>
      <c r="AG343" s="198"/>
      <c r="AH343" s="198"/>
      <c r="AI343" s="198"/>
      <c r="AJ343" s="198"/>
      <c r="AK343" s="198"/>
      <c r="AL343" s="198"/>
      <c r="AM343" s="198"/>
      <c r="AN343" s="198"/>
      <c r="AO343" s="198"/>
      <c r="AP343" s="198"/>
      <c r="AQ343" s="198"/>
      <c r="AR343" s="198"/>
      <c r="AS343" s="198"/>
      <c r="AT343" s="198"/>
      <c r="AU343" s="198"/>
      <c r="AV343" s="198"/>
      <c r="AW343" s="198"/>
      <c r="AX343" s="198"/>
      <c r="AY343" s="198"/>
      <c r="AZ343" s="198"/>
      <c r="BA343" s="198"/>
      <c r="BB343" s="198"/>
      <c r="BC343" s="198"/>
      <c r="BD343" s="198"/>
      <c r="BE343" s="198"/>
      <c r="BF343" s="198"/>
      <c r="BG343" s="198"/>
      <c r="BH343" s="198"/>
      <c r="BI343" s="198"/>
      <c r="BJ343" s="198"/>
      <c r="BK343" s="198"/>
      <c r="BL343" s="198"/>
      <c r="BM343" s="198"/>
      <c r="BN343" s="198"/>
      <c r="BO343" s="198"/>
      <c r="BP343" s="198"/>
      <c r="BQ343" s="198"/>
      <c r="BR343" s="198"/>
      <c r="BS343" s="198"/>
      <c r="BT343" s="198"/>
      <c r="BU343" s="198"/>
      <c r="BV343" s="198"/>
      <c r="BW343" s="198"/>
      <c r="BX343" s="198"/>
      <c r="BY343" s="198"/>
      <c r="BZ343" s="198"/>
      <c r="CA343" s="198"/>
      <c r="CB343" s="198"/>
      <c r="CC343" s="198"/>
      <c r="CD343" s="198"/>
      <c r="CE343" s="198"/>
      <c r="CF343" s="198"/>
      <c r="CG343" s="198"/>
    </row>
    <row r="344" spans="1:85" s="199" customFormat="1" ht="15.6" thickBot="1" x14ac:dyDescent="0.3">
      <c r="A344" s="189"/>
      <c r="B344" s="157" t="s">
        <v>22</v>
      </c>
      <c r="C344" s="635"/>
      <c r="D344" s="634"/>
      <c r="E344" s="636"/>
      <c r="F344" s="636"/>
      <c r="G344" s="636"/>
      <c r="H344" s="636"/>
      <c r="I344" s="197"/>
      <c r="J344" s="197"/>
      <c r="K344" s="197"/>
      <c r="L344" s="197"/>
      <c r="M344" s="197"/>
      <c r="N344" s="197"/>
      <c r="O344" s="197"/>
      <c r="P344" s="197"/>
      <c r="Q344" s="197"/>
      <c r="R344" s="197"/>
      <c r="S344" s="197"/>
      <c r="T344" s="198"/>
      <c r="U344" s="198"/>
      <c r="V344" s="198"/>
      <c r="W344" s="198"/>
      <c r="X344" s="198"/>
      <c r="Y344" s="198"/>
      <c r="Z344" s="198"/>
      <c r="AA344" s="198"/>
      <c r="AB344" s="198"/>
      <c r="AC344" s="198"/>
      <c r="AD344" s="198"/>
      <c r="AE344" s="198"/>
      <c r="AF344" s="198"/>
      <c r="AG344" s="198"/>
      <c r="AH344" s="198"/>
      <c r="AI344" s="198"/>
      <c r="AJ344" s="198"/>
      <c r="AK344" s="198"/>
      <c r="AL344" s="198"/>
      <c r="AM344" s="198"/>
      <c r="AN344" s="198"/>
      <c r="AO344" s="198"/>
      <c r="AP344" s="198"/>
      <c r="AQ344" s="198"/>
      <c r="AR344" s="198"/>
      <c r="AS344" s="198"/>
      <c r="AT344" s="198"/>
      <c r="AU344" s="198"/>
      <c r="AV344" s="198"/>
      <c r="AW344" s="198"/>
      <c r="AX344" s="198"/>
      <c r="AY344" s="198"/>
      <c r="AZ344" s="198"/>
      <c r="BA344" s="198"/>
      <c r="BB344" s="198"/>
      <c r="BC344" s="198"/>
      <c r="BD344" s="198"/>
      <c r="BE344" s="198"/>
      <c r="BF344" s="198"/>
      <c r="BG344" s="198"/>
      <c r="BH344" s="198"/>
      <c r="BI344" s="198"/>
      <c r="BJ344" s="198"/>
      <c r="BK344" s="198"/>
      <c r="BL344" s="198"/>
      <c r="BM344" s="198"/>
      <c r="BN344" s="198"/>
      <c r="BO344" s="198"/>
      <c r="BP344" s="198"/>
      <c r="BQ344" s="198"/>
      <c r="BR344" s="198"/>
      <c r="BS344" s="198"/>
      <c r="BT344" s="198"/>
      <c r="BU344" s="198"/>
      <c r="BV344" s="198"/>
      <c r="BW344" s="198"/>
      <c r="BX344" s="198"/>
      <c r="BY344" s="198"/>
      <c r="BZ344" s="198"/>
      <c r="CA344" s="198"/>
      <c r="CB344" s="198"/>
      <c r="CC344" s="198"/>
      <c r="CD344" s="198"/>
      <c r="CE344" s="198"/>
      <c r="CF344" s="198"/>
      <c r="CG344" s="198"/>
    </row>
    <row r="345" spans="1:85" s="199" customFormat="1" ht="21" customHeight="1" thickTop="1" x14ac:dyDescent="0.25">
      <c r="A345" s="637" t="s">
        <v>171</v>
      </c>
      <c r="B345" s="638"/>
      <c r="C345" s="639"/>
      <c r="D345" s="640"/>
      <c r="E345" s="641"/>
      <c r="F345" s="641"/>
      <c r="G345" s="641"/>
      <c r="H345" s="641"/>
      <c r="I345" s="197"/>
      <c r="J345" s="197"/>
      <c r="K345" s="197"/>
      <c r="L345" s="197"/>
      <c r="M345" s="197"/>
      <c r="N345" s="197"/>
      <c r="O345" s="197"/>
      <c r="P345" s="197"/>
      <c r="Q345" s="197"/>
      <c r="R345" s="197"/>
      <c r="S345" s="197"/>
      <c r="T345" s="198"/>
      <c r="U345" s="198"/>
      <c r="V345" s="198"/>
      <c r="W345" s="198"/>
      <c r="X345" s="198"/>
      <c r="Y345" s="198"/>
      <c r="Z345" s="198"/>
      <c r="AA345" s="198"/>
      <c r="AB345" s="198"/>
      <c r="AC345" s="198"/>
      <c r="AD345" s="198"/>
      <c r="AE345" s="198"/>
      <c r="AF345" s="198"/>
      <c r="AG345" s="198"/>
      <c r="AH345" s="198"/>
      <c r="AI345" s="198"/>
      <c r="AJ345" s="198"/>
      <c r="AK345" s="198"/>
      <c r="AL345" s="198"/>
      <c r="AM345" s="198"/>
      <c r="AN345" s="198"/>
      <c r="AO345" s="198"/>
      <c r="AP345" s="198"/>
      <c r="AQ345" s="198"/>
      <c r="AR345" s="198"/>
      <c r="AS345" s="198"/>
      <c r="AT345" s="198"/>
      <c r="AU345" s="198"/>
      <c r="AV345" s="198"/>
      <c r="AW345" s="198"/>
      <c r="AX345" s="198"/>
      <c r="AY345" s="198"/>
      <c r="AZ345" s="198"/>
      <c r="BA345" s="198"/>
      <c r="BB345" s="198"/>
      <c r="BC345" s="198"/>
      <c r="BD345" s="198"/>
      <c r="BE345" s="198"/>
      <c r="BF345" s="198"/>
      <c r="BG345" s="198"/>
      <c r="BH345" s="198"/>
      <c r="BI345" s="198"/>
      <c r="BJ345" s="198"/>
      <c r="BK345" s="198"/>
      <c r="BL345" s="198"/>
      <c r="BM345" s="198"/>
      <c r="BN345" s="198"/>
      <c r="BO345" s="198"/>
      <c r="BP345" s="198"/>
      <c r="BQ345" s="198"/>
      <c r="BR345" s="198"/>
      <c r="BS345" s="198"/>
      <c r="BT345" s="198"/>
      <c r="BU345" s="198"/>
      <c r="BV345" s="198"/>
      <c r="BW345" s="198"/>
      <c r="BX345" s="198"/>
      <c r="BY345" s="198"/>
      <c r="BZ345" s="198"/>
      <c r="CA345" s="198"/>
      <c r="CB345" s="198"/>
      <c r="CC345" s="198"/>
      <c r="CD345" s="198"/>
      <c r="CE345" s="198"/>
      <c r="CF345" s="198"/>
      <c r="CG345" s="198"/>
    </row>
    <row r="346" spans="1:85" s="199" customFormat="1" ht="21" customHeight="1" thickBot="1" x14ac:dyDescent="0.35">
      <c r="A346" s="642" t="s">
        <v>55</v>
      </c>
      <c r="B346" s="643"/>
      <c r="C346" s="644"/>
      <c r="D346" s="645"/>
      <c r="E346" s="645"/>
      <c r="F346" s="645"/>
      <c r="G346" s="645"/>
      <c r="H346" s="645"/>
      <c r="I346" s="197"/>
      <c r="J346" s="197"/>
      <c r="K346" s="197"/>
      <c r="L346" s="197"/>
      <c r="M346" s="197"/>
      <c r="N346" s="197"/>
      <c r="O346" s="197"/>
      <c r="P346" s="197"/>
      <c r="Q346" s="197"/>
      <c r="R346" s="197"/>
      <c r="S346" s="197"/>
      <c r="T346" s="198"/>
      <c r="U346" s="198"/>
      <c r="V346" s="198"/>
      <c r="W346" s="198"/>
      <c r="X346" s="198"/>
      <c r="Y346" s="198"/>
      <c r="Z346" s="198"/>
      <c r="AA346" s="198"/>
      <c r="AB346" s="198"/>
      <c r="AC346" s="198"/>
      <c r="AD346" s="198"/>
      <c r="AE346" s="198"/>
      <c r="AF346" s="198"/>
      <c r="AG346" s="198"/>
      <c r="AH346" s="198"/>
      <c r="AI346" s="198"/>
      <c r="AJ346" s="198"/>
      <c r="AK346" s="198"/>
      <c r="AL346" s="198"/>
      <c r="AM346" s="198"/>
      <c r="AN346" s="198"/>
      <c r="AO346" s="198"/>
      <c r="AP346" s="198"/>
      <c r="AQ346" s="198"/>
      <c r="AR346" s="198"/>
      <c r="AS346" s="198"/>
      <c r="AT346" s="198"/>
      <c r="AU346" s="198"/>
      <c r="AV346" s="198"/>
      <c r="AW346" s="198"/>
      <c r="AX346" s="198"/>
      <c r="AY346" s="198"/>
      <c r="AZ346" s="198"/>
      <c r="BA346" s="198"/>
      <c r="BB346" s="198"/>
      <c r="BC346" s="198"/>
      <c r="BD346" s="198"/>
      <c r="BE346" s="198"/>
      <c r="BF346" s="198"/>
      <c r="BG346" s="198"/>
      <c r="BH346" s="198"/>
      <c r="BI346" s="198"/>
      <c r="BJ346" s="198"/>
      <c r="BK346" s="198"/>
      <c r="BL346" s="198"/>
      <c r="BM346" s="198"/>
      <c r="BN346" s="198"/>
      <c r="BO346" s="198"/>
      <c r="BP346" s="198"/>
      <c r="BQ346" s="198"/>
      <c r="BR346" s="198"/>
      <c r="BS346" s="198"/>
      <c r="BT346" s="198"/>
      <c r="BU346" s="198"/>
      <c r="BV346" s="198"/>
      <c r="BW346" s="198"/>
      <c r="BX346" s="198"/>
      <c r="BY346" s="198"/>
      <c r="BZ346" s="198"/>
      <c r="CA346" s="198"/>
      <c r="CB346" s="198"/>
      <c r="CC346" s="198"/>
      <c r="CD346" s="198"/>
      <c r="CE346" s="198"/>
      <c r="CF346" s="198"/>
      <c r="CG346" s="198"/>
    </row>
    <row r="347" spans="1:85" s="199" customFormat="1" ht="15.6" thickTop="1" x14ac:dyDescent="0.25">
      <c r="A347" s="192" t="s">
        <v>50</v>
      </c>
      <c r="B347" s="211"/>
      <c r="C347" s="646"/>
      <c r="D347" s="647"/>
      <c r="E347" s="648"/>
      <c r="F347" s="648"/>
      <c r="G347" s="648"/>
      <c r="H347" s="647"/>
      <c r="I347" s="197"/>
      <c r="J347" s="197"/>
      <c r="K347" s="197"/>
      <c r="L347" s="197"/>
      <c r="M347" s="197"/>
      <c r="N347" s="197"/>
      <c r="O347" s="197"/>
      <c r="P347" s="197"/>
      <c r="Q347" s="197"/>
      <c r="R347" s="197"/>
      <c r="S347" s="197"/>
      <c r="T347" s="198"/>
      <c r="U347" s="198"/>
      <c r="V347" s="198"/>
      <c r="W347" s="198"/>
      <c r="X347" s="198"/>
      <c r="Y347" s="198"/>
      <c r="Z347" s="198"/>
      <c r="AA347" s="198"/>
      <c r="AB347" s="198"/>
      <c r="AC347" s="198"/>
      <c r="AD347" s="198"/>
      <c r="AE347" s="198"/>
      <c r="AF347" s="198"/>
      <c r="AG347" s="198"/>
      <c r="AH347" s="198"/>
      <c r="AI347" s="198"/>
      <c r="AJ347" s="198"/>
      <c r="AK347" s="198"/>
      <c r="AL347" s="198"/>
      <c r="AM347" s="198"/>
      <c r="AN347" s="198"/>
      <c r="AO347" s="198"/>
      <c r="AP347" s="198"/>
      <c r="AQ347" s="198"/>
      <c r="AR347" s="198"/>
      <c r="AS347" s="198"/>
      <c r="AT347" s="198"/>
      <c r="AU347" s="198"/>
      <c r="AV347" s="198"/>
      <c r="AW347" s="198"/>
      <c r="AX347" s="198"/>
      <c r="AY347" s="198"/>
      <c r="AZ347" s="198"/>
      <c r="BA347" s="198"/>
      <c r="BB347" s="198"/>
      <c r="BC347" s="198"/>
      <c r="BD347" s="198"/>
      <c r="BE347" s="198"/>
      <c r="BF347" s="198"/>
      <c r="BG347" s="198"/>
      <c r="BH347" s="198"/>
      <c r="BI347" s="198"/>
      <c r="BJ347" s="198"/>
      <c r="BK347" s="198"/>
      <c r="BL347" s="198"/>
      <c r="BM347" s="198"/>
      <c r="BN347" s="198"/>
      <c r="BO347" s="198"/>
      <c r="BP347" s="198"/>
      <c r="BQ347" s="198"/>
      <c r="BR347" s="198"/>
      <c r="BS347" s="198"/>
      <c r="BT347" s="198"/>
      <c r="BU347" s="198"/>
      <c r="BV347" s="198"/>
      <c r="BW347" s="198"/>
      <c r="BX347" s="198"/>
      <c r="BY347" s="198"/>
      <c r="BZ347" s="198"/>
      <c r="CA347" s="198"/>
      <c r="CB347" s="198"/>
      <c r="CC347" s="198"/>
      <c r="CD347" s="198"/>
      <c r="CE347" s="198"/>
      <c r="CF347" s="198"/>
      <c r="CG347" s="198"/>
    </row>
    <row r="348" spans="1:85" s="199" customFormat="1" x14ac:dyDescent="0.25">
      <c r="A348" s="201" t="s">
        <v>56</v>
      </c>
      <c r="B348" s="202"/>
      <c r="C348" s="649"/>
      <c r="D348" s="650"/>
      <c r="E348" s="651"/>
      <c r="F348" s="651"/>
      <c r="G348" s="651"/>
      <c r="H348" s="650"/>
      <c r="I348" s="197"/>
      <c r="J348" s="197"/>
      <c r="K348" s="197"/>
      <c r="L348" s="197"/>
      <c r="M348" s="197"/>
      <c r="N348" s="197"/>
      <c r="O348" s="197"/>
      <c r="P348" s="197"/>
      <c r="Q348" s="197"/>
      <c r="R348" s="197"/>
      <c r="S348" s="197"/>
      <c r="T348" s="198"/>
      <c r="U348" s="198"/>
      <c r="V348" s="198"/>
      <c r="W348" s="198"/>
      <c r="X348" s="198"/>
      <c r="Y348" s="198"/>
      <c r="Z348" s="198"/>
      <c r="AA348" s="198"/>
      <c r="AB348" s="198"/>
      <c r="AC348" s="198"/>
      <c r="AD348" s="198"/>
      <c r="AE348" s="198"/>
      <c r="AF348" s="198"/>
      <c r="AG348" s="198"/>
      <c r="AH348" s="198"/>
      <c r="AI348" s="198"/>
      <c r="AJ348" s="198"/>
      <c r="AK348" s="198"/>
      <c r="AL348" s="198"/>
      <c r="AM348" s="198"/>
      <c r="AN348" s="198"/>
      <c r="AO348" s="198"/>
      <c r="AP348" s="198"/>
      <c r="AQ348" s="198"/>
      <c r="AR348" s="198"/>
      <c r="AS348" s="198"/>
      <c r="AT348" s="198"/>
      <c r="AU348" s="198"/>
      <c r="AV348" s="198"/>
      <c r="AW348" s="198"/>
      <c r="AX348" s="198"/>
      <c r="AY348" s="198"/>
      <c r="AZ348" s="198"/>
      <c r="BA348" s="198"/>
      <c r="BB348" s="198"/>
      <c r="BC348" s="198"/>
      <c r="BD348" s="198"/>
      <c r="BE348" s="198"/>
      <c r="BF348" s="198"/>
      <c r="BG348" s="198"/>
      <c r="BH348" s="198"/>
      <c r="BI348" s="198"/>
      <c r="BJ348" s="198"/>
      <c r="BK348" s="198"/>
      <c r="BL348" s="198"/>
      <c r="BM348" s="198"/>
      <c r="BN348" s="198"/>
      <c r="BO348" s="198"/>
      <c r="BP348" s="198"/>
      <c r="BQ348" s="198"/>
      <c r="BR348" s="198"/>
      <c r="BS348" s="198"/>
      <c r="BT348" s="198"/>
      <c r="BU348" s="198"/>
      <c r="BV348" s="198"/>
      <c r="BW348" s="198"/>
      <c r="BX348" s="198"/>
      <c r="BY348" s="198"/>
      <c r="BZ348" s="198"/>
      <c r="CA348" s="198"/>
      <c r="CB348" s="198"/>
      <c r="CC348" s="198"/>
      <c r="CD348" s="198"/>
      <c r="CE348" s="198"/>
      <c r="CF348" s="198"/>
      <c r="CG348" s="198"/>
    </row>
    <row r="349" spans="1:85" s="199" customFormat="1" x14ac:dyDescent="0.25">
      <c r="A349" s="201" t="s">
        <v>7</v>
      </c>
      <c r="B349" s="202"/>
      <c r="C349" s="649"/>
      <c r="D349" s="652"/>
      <c r="E349" s="651"/>
      <c r="F349" s="651"/>
      <c r="G349" s="651"/>
      <c r="H349" s="652"/>
      <c r="I349" s="197"/>
      <c r="J349" s="197"/>
      <c r="K349" s="197"/>
      <c r="L349" s="197"/>
      <c r="M349" s="197"/>
      <c r="N349" s="197"/>
      <c r="O349" s="197"/>
      <c r="P349" s="197"/>
      <c r="Q349" s="197"/>
      <c r="R349" s="197"/>
      <c r="S349" s="197"/>
      <c r="T349" s="198"/>
      <c r="U349" s="198"/>
      <c r="V349" s="198"/>
      <c r="W349" s="198"/>
      <c r="X349" s="198"/>
      <c r="Y349" s="198"/>
      <c r="Z349" s="198"/>
      <c r="AA349" s="198"/>
      <c r="AB349" s="198"/>
      <c r="AC349" s="198"/>
      <c r="AD349" s="198"/>
      <c r="AE349" s="198"/>
      <c r="AF349" s="198"/>
      <c r="AG349" s="198"/>
      <c r="AH349" s="198"/>
      <c r="AI349" s="198"/>
      <c r="AJ349" s="198"/>
      <c r="AK349" s="198"/>
      <c r="AL349" s="198"/>
      <c r="AM349" s="198"/>
      <c r="AN349" s="198"/>
      <c r="AO349" s="198"/>
      <c r="AP349" s="198"/>
      <c r="AQ349" s="198"/>
      <c r="AR349" s="198"/>
      <c r="AS349" s="198"/>
      <c r="AT349" s="198"/>
      <c r="AU349" s="198"/>
      <c r="AV349" s="198"/>
      <c r="AW349" s="198"/>
      <c r="AX349" s="198"/>
      <c r="AY349" s="198"/>
      <c r="AZ349" s="198"/>
      <c r="BA349" s="198"/>
      <c r="BB349" s="198"/>
      <c r="BC349" s="198"/>
      <c r="BD349" s="198"/>
      <c r="BE349" s="198"/>
      <c r="BF349" s="198"/>
      <c r="BG349" s="198"/>
      <c r="BH349" s="198"/>
      <c r="BI349" s="198"/>
      <c r="BJ349" s="198"/>
      <c r="BK349" s="198"/>
      <c r="BL349" s="198"/>
      <c r="BM349" s="198"/>
      <c r="BN349" s="198"/>
      <c r="BO349" s="198"/>
      <c r="BP349" s="198"/>
      <c r="BQ349" s="198"/>
      <c r="BR349" s="198"/>
      <c r="BS349" s="198"/>
      <c r="BT349" s="198"/>
      <c r="BU349" s="198"/>
      <c r="BV349" s="198"/>
      <c r="BW349" s="198"/>
      <c r="BX349" s="198"/>
      <c r="BY349" s="198"/>
      <c r="BZ349" s="198"/>
      <c r="CA349" s="198"/>
      <c r="CB349" s="198"/>
      <c r="CC349" s="198"/>
      <c r="CD349" s="198"/>
      <c r="CE349" s="198"/>
      <c r="CF349" s="198"/>
      <c r="CG349" s="198"/>
    </row>
    <row r="350" spans="1:85" s="199" customFormat="1" x14ac:dyDescent="0.25">
      <c r="A350" s="193" t="s">
        <v>57</v>
      </c>
      <c r="B350" s="194"/>
      <c r="C350" s="653"/>
      <c r="D350" s="654"/>
      <c r="E350" s="655"/>
      <c r="F350" s="655"/>
      <c r="G350" s="655"/>
      <c r="H350" s="654"/>
      <c r="I350" s="197"/>
      <c r="J350" s="197"/>
      <c r="K350" s="197"/>
      <c r="L350" s="197"/>
      <c r="M350" s="197"/>
      <c r="N350" s="197"/>
      <c r="O350" s="197"/>
      <c r="P350" s="197"/>
      <c r="Q350" s="197"/>
      <c r="R350" s="197"/>
      <c r="S350" s="197"/>
      <c r="T350" s="198"/>
      <c r="U350" s="198"/>
      <c r="V350" s="198"/>
      <c r="W350" s="198"/>
      <c r="X350" s="198"/>
      <c r="Y350" s="198"/>
      <c r="Z350" s="198"/>
      <c r="AA350" s="198"/>
      <c r="AB350" s="198"/>
      <c r="AC350" s="198"/>
      <c r="AD350" s="198"/>
      <c r="AE350" s="198"/>
      <c r="AF350" s="198"/>
      <c r="AG350" s="198"/>
      <c r="AH350" s="198"/>
      <c r="AI350" s="198"/>
      <c r="AJ350" s="198"/>
      <c r="AK350" s="198"/>
      <c r="AL350" s="198"/>
      <c r="AM350" s="198"/>
      <c r="AN350" s="198"/>
      <c r="AO350" s="198"/>
      <c r="AP350" s="198"/>
      <c r="AQ350" s="198"/>
      <c r="AR350" s="198"/>
      <c r="AS350" s="198"/>
      <c r="AT350" s="198"/>
      <c r="AU350" s="198"/>
      <c r="AV350" s="198"/>
      <c r="AW350" s="198"/>
      <c r="AX350" s="198"/>
      <c r="AY350" s="198"/>
      <c r="AZ350" s="198"/>
      <c r="BA350" s="198"/>
      <c r="BB350" s="198"/>
      <c r="BC350" s="198"/>
      <c r="BD350" s="198"/>
      <c r="BE350" s="198"/>
      <c r="BF350" s="198"/>
      <c r="BG350" s="198"/>
      <c r="BH350" s="198"/>
      <c r="BI350" s="198"/>
      <c r="BJ350" s="198"/>
      <c r="BK350" s="198"/>
      <c r="BL350" s="198"/>
      <c r="BM350" s="198"/>
      <c r="BN350" s="198"/>
      <c r="BO350" s="198"/>
      <c r="BP350" s="198"/>
      <c r="BQ350" s="198"/>
      <c r="BR350" s="198"/>
      <c r="BS350" s="198"/>
      <c r="BT350" s="198"/>
      <c r="BU350" s="198"/>
      <c r="BV350" s="198"/>
      <c r="BW350" s="198"/>
      <c r="BX350" s="198"/>
      <c r="BY350" s="198"/>
      <c r="BZ350" s="198"/>
      <c r="CA350" s="198"/>
      <c r="CB350" s="198"/>
      <c r="CC350" s="198"/>
      <c r="CD350" s="198"/>
      <c r="CE350" s="198"/>
      <c r="CF350" s="198"/>
      <c r="CG350" s="198"/>
    </row>
    <row r="351" spans="1:85" s="199" customFormat="1" x14ac:dyDescent="0.25">
      <c r="A351" s="192"/>
      <c r="B351" s="211" t="s">
        <v>58</v>
      </c>
      <c r="C351" s="646"/>
      <c r="D351" s="647"/>
      <c r="E351" s="648"/>
      <c r="F351" s="648"/>
      <c r="G351" s="648"/>
      <c r="H351" s="647"/>
      <c r="I351" s="197"/>
      <c r="J351" s="197"/>
      <c r="K351" s="197"/>
      <c r="L351" s="197"/>
      <c r="M351" s="197"/>
      <c r="N351" s="197"/>
      <c r="O351" s="197"/>
      <c r="P351" s="197"/>
      <c r="Q351" s="197"/>
      <c r="R351" s="197"/>
      <c r="S351" s="197"/>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c r="BD351" s="198"/>
      <c r="BE351" s="198"/>
      <c r="BF351" s="198"/>
      <c r="BG351" s="198"/>
      <c r="BH351" s="198"/>
      <c r="BI351" s="198"/>
      <c r="BJ351" s="198"/>
      <c r="BK351" s="198"/>
      <c r="BL351" s="198"/>
      <c r="BM351" s="198"/>
      <c r="BN351" s="198"/>
      <c r="BO351" s="198"/>
      <c r="BP351" s="198"/>
      <c r="BQ351" s="198"/>
      <c r="BR351" s="198"/>
      <c r="BS351" s="198"/>
      <c r="BT351" s="198"/>
      <c r="BU351" s="198"/>
      <c r="BV351" s="198"/>
      <c r="BW351" s="198"/>
      <c r="BX351" s="198"/>
      <c r="BY351" s="198"/>
      <c r="BZ351" s="198"/>
      <c r="CA351" s="198"/>
      <c r="CB351" s="198"/>
      <c r="CC351" s="198"/>
      <c r="CD351" s="198"/>
      <c r="CE351" s="198"/>
      <c r="CF351" s="198"/>
      <c r="CG351" s="198"/>
    </row>
    <row r="352" spans="1:85" s="199" customFormat="1" x14ac:dyDescent="0.25">
      <c r="A352" s="295" t="s">
        <v>3</v>
      </c>
      <c r="B352" s="296"/>
      <c r="C352" s="656"/>
      <c r="D352" s="657"/>
      <c r="E352" s="658"/>
      <c r="F352" s="658"/>
      <c r="G352" s="658"/>
      <c r="H352" s="657"/>
      <c r="I352" s="197"/>
      <c r="J352" s="197"/>
      <c r="K352" s="197"/>
      <c r="L352" s="197"/>
      <c r="M352" s="197"/>
      <c r="N352" s="197"/>
      <c r="O352" s="197"/>
      <c r="P352" s="197"/>
      <c r="Q352" s="197"/>
      <c r="R352" s="197"/>
      <c r="S352" s="197"/>
      <c r="T352" s="198"/>
      <c r="U352" s="198"/>
      <c r="V352" s="198"/>
      <c r="W352" s="198"/>
      <c r="X352" s="198"/>
      <c r="Y352" s="198"/>
      <c r="Z352" s="198"/>
      <c r="AA352" s="198"/>
      <c r="AB352" s="198"/>
      <c r="AC352" s="198"/>
      <c r="AD352" s="198"/>
      <c r="AE352" s="198"/>
      <c r="AF352" s="198"/>
      <c r="AG352" s="198"/>
      <c r="AH352" s="198"/>
      <c r="AI352" s="198"/>
      <c r="AJ352" s="198"/>
      <c r="AK352" s="198"/>
      <c r="AL352" s="198"/>
      <c r="AM352" s="198"/>
      <c r="AN352" s="198"/>
      <c r="AO352" s="198"/>
      <c r="AP352" s="198"/>
      <c r="AQ352" s="198"/>
      <c r="AR352" s="198"/>
      <c r="AS352" s="198"/>
      <c r="AT352" s="198"/>
      <c r="AU352" s="198"/>
      <c r="AV352" s="198"/>
      <c r="AW352" s="198"/>
      <c r="AX352" s="198"/>
      <c r="AY352" s="198"/>
      <c r="AZ352" s="198"/>
      <c r="BA352" s="198"/>
      <c r="BB352" s="198"/>
      <c r="BC352" s="198"/>
      <c r="BD352" s="198"/>
      <c r="BE352" s="198"/>
      <c r="BF352" s="198"/>
      <c r="BG352" s="198"/>
      <c r="BH352" s="198"/>
      <c r="BI352" s="198"/>
      <c r="BJ352" s="198"/>
      <c r="BK352" s="198"/>
      <c r="BL352" s="198"/>
      <c r="BM352" s="198"/>
      <c r="BN352" s="198"/>
      <c r="BO352" s="198"/>
      <c r="BP352" s="198"/>
      <c r="BQ352" s="198"/>
      <c r="BR352" s="198"/>
      <c r="BS352" s="198"/>
      <c r="BT352" s="198"/>
      <c r="BU352" s="198"/>
      <c r="BV352" s="198"/>
      <c r="BW352" s="198"/>
      <c r="BX352" s="198"/>
      <c r="BY352" s="198"/>
      <c r="BZ352" s="198"/>
      <c r="CA352" s="198"/>
      <c r="CB352" s="198"/>
      <c r="CC352" s="198"/>
      <c r="CD352" s="198"/>
      <c r="CE352" s="198"/>
      <c r="CF352" s="198"/>
      <c r="CG352" s="198"/>
    </row>
    <row r="353" spans="1:85" s="199" customFormat="1" x14ac:dyDescent="0.25">
      <c r="A353" s="459" t="s">
        <v>76</v>
      </c>
      <c r="B353" s="204"/>
      <c r="C353" s="205"/>
      <c r="D353" s="460"/>
      <c r="E353" s="460"/>
      <c r="F353" s="460"/>
      <c r="G353" s="460"/>
      <c r="H353" s="460"/>
      <c r="I353" s="197"/>
      <c r="J353" s="197"/>
      <c r="K353" s="197"/>
      <c r="L353" s="197"/>
      <c r="M353" s="197"/>
      <c r="N353" s="197"/>
      <c r="O353" s="197"/>
      <c r="P353" s="197"/>
      <c r="Q353" s="197"/>
      <c r="R353" s="197"/>
      <c r="S353" s="197"/>
      <c r="T353" s="198"/>
      <c r="U353" s="198"/>
      <c r="V353" s="198"/>
      <c r="W353" s="198"/>
      <c r="X353" s="198"/>
      <c r="Y353" s="198"/>
      <c r="Z353" s="198"/>
      <c r="AA353" s="198"/>
      <c r="AB353" s="198"/>
      <c r="AC353" s="198"/>
      <c r="AD353" s="198"/>
      <c r="AE353" s="198"/>
      <c r="AF353" s="198"/>
      <c r="AG353" s="198"/>
      <c r="AH353" s="198"/>
      <c r="AI353" s="198"/>
      <c r="AJ353" s="198"/>
      <c r="AK353" s="198"/>
      <c r="AL353" s="198"/>
      <c r="AM353" s="198"/>
      <c r="AN353" s="198"/>
      <c r="AO353" s="198"/>
      <c r="AP353" s="198"/>
      <c r="AQ353" s="198"/>
      <c r="AR353" s="198"/>
      <c r="AS353" s="198"/>
      <c r="AT353" s="198"/>
      <c r="AU353" s="198"/>
      <c r="AV353" s="198"/>
      <c r="AW353" s="198"/>
      <c r="AX353" s="198"/>
      <c r="AY353" s="198"/>
      <c r="AZ353" s="198"/>
      <c r="BA353" s="198"/>
      <c r="BB353" s="198"/>
      <c r="BC353" s="198"/>
      <c r="BD353" s="198"/>
      <c r="BE353" s="198"/>
      <c r="BF353" s="198"/>
      <c r="BG353" s="198"/>
      <c r="BH353" s="198"/>
      <c r="BI353" s="198"/>
      <c r="BJ353" s="198"/>
      <c r="BK353" s="198"/>
      <c r="BL353" s="198"/>
      <c r="BM353" s="198"/>
      <c r="BN353" s="198"/>
      <c r="BO353" s="198"/>
      <c r="BP353" s="198"/>
      <c r="BQ353" s="198"/>
      <c r="BR353" s="198"/>
      <c r="BS353" s="198"/>
      <c r="BT353" s="198"/>
      <c r="BU353" s="198"/>
      <c r="BV353" s="198"/>
      <c r="BW353" s="198"/>
      <c r="BX353" s="198"/>
      <c r="BY353" s="198"/>
      <c r="BZ353" s="198"/>
      <c r="CA353" s="198"/>
      <c r="CB353" s="198"/>
      <c r="CC353" s="198"/>
      <c r="CD353" s="198"/>
      <c r="CE353" s="198"/>
      <c r="CF353" s="198"/>
      <c r="CG353" s="198"/>
    </row>
    <row r="354" spans="1:85" s="199" customFormat="1" x14ac:dyDescent="0.25">
      <c r="A354" s="319"/>
      <c r="B354" s="206" t="s">
        <v>8</v>
      </c>
      <c r="C354" s="207"/>
      <c r="D354" s="320"/>
      <c r="E354" s="320"/>
      <c r="F354" s="320"/>
      <c r="G354" s="320"/>
      <c r="H354" s="320"/>
      <c r="I354" s="197"/>
      <c r="J354" s="197"/>
      <c r="K354" s="197"/>
      <c r="L354" s="197"/>
      <c r="M354" s="197"/>
      <c r="N354" s="197"/>
      <c r="O354" s="197"/>
      <c r="P354" s="197"/>
      <c r="Q354" s="197"/>
      <c r="R354" s="197"/>
      <c r="S354" s="197"/>
      <c r="T354" s="198"/>
      <c r="U354" s="198"/>
      <c r="V354" s="198"/>
      <c r="W354" s="198"/>
      <c r="X354" s="198"/>
      <c r="Y354" s="198"/>
      <c r="Z354" s="198"/>
      <c r="AA354" s="198"/>
      <c r="AB354" s="198"/>
      <c r="AC354" s="198"/>
      <c r="AD354" s="198"/>
      <c r="AE354" s="198"/>
      <c r="AF354" s="198"/>
      <c r="AG354" s="198"/>
      <c r="AH354" s="198"/>
      <c r="AI354" s="198"/>
      <c r="AJ354" s="198"/>
      <c r="AK354" s="198"/>
      <c r="AL354" s="198"/>
      <c r="AM354" s="198"/>
      <c r="AN354" s="198"/>
      <c r="AO354" s="198"/>
      <c r="AP354" s="198"/>
      <c r="AQ354" s="198"/>
      <c r="AR354" s="198"/>
      <c r="AS354" s="198"/>
      <c r="AT354" s="198"/>
      <c r="AU354" s="198"/>
      <c r="AV354" s="198"/>
      <c r="AW354" s="198"/>
      <c r="AX354" s="198"/>
      <c r="AY354" s="198"/>
      <c r="AZ354" s="198"/>
      <c r="BA354" s="198"/>
      <c r="BB354" s="198"/>
      <c r="BC354" s="198"/>
      <c r="BD354" s="198"/>
      <c r="BE354" s="198"/>
      <c r="BF354" s="198"/>
      <c r="BG354" s="198"/>
      <c r="BH354" s="198"/>
      <c r="BI354" s="198"/>
      <c r="BJ354" s="198"/>
      <c r="BK354" s="198"/>
      <c r="BL354" s="198"/>
      <c r="BM354" s="198"/>
      <c r="BN354" s="198"/>
      <c r="BO354" s="198"/>
      <c r="BP354" s="198"/>
      <c r="BQ354" s="198"/>
      <c r="BR354" s="198"/>
      <c r="BS354" s="198"/>
      <c r="BT354" s="198"/>
      <c r="BU354" s="198"/>
      <c r="BV354" s="198"/>
      <c r="BW354" s="198"/>
      <c r="BX354" s="198"/>
      <c r="BY354" s="198"/>
      <c r="BZ354" s="198"/>
      <c r="CA354" s="198"/>
      <c r="CB354" s="198"/>
      <c r="CC354" s="198"/>
      <c r="CD354" s="198"/>
      <c r="CE354" s="198"/>
      <c r="CF354" s="198"/>
      <c r="CG354" s="198"/>
    </row>
    <row r="355" spans="1:85" s="199" customFormat="1" x14ac:dyDescent="0.25">
      <c r="A355" s="319"/>
      <c r="B355" s="206" t="s">
        <v>9</v>
      </c>
      <c r="C355" s="207"/>
      <c r="D355" s="320"/>
      <c r="E355" s="320"/>
      <c r="F355" s="320"/>
      <c r="G355" s="320"/>
      <c r="H355" s="320"/>
      <c r="I355" s="197"/>
      <c r="J355" s="197"/>
      <c r="K355" s="197"/>
      <c r="L355" s="197"/>
      <c r="M355" s="197"/>
      <c r="N355" s="197"/>
      <c r="O355" s="197"/>
      <c r="P355" s="197"/>
      <c r="Q355" s="197"/>
      <c r="R355" s="197"/>
      <c r="S355" s="197"/>
      <c r="T355" s="198"/>
      <c r="U355" s="198"/>
      <c r="V355" s="198"/>
      <c r="W355" s="198"/>
      <c r="X355" s="198"/>
      <c r="Y355" s="198"/>
      <c r="Z355" s="198"/>
      <c r="AA355" s="198"/>
      <c r="AB355" s="198"/>
      <c r="AC355" s="198"/>
      <c r="AD355" s="198"/>
      <c r="AE355" s="198"/>
      <c r="AF355" s="198"/>
      <c r="AG355" s="198"/>
      <c r="AH355" s="198"/>
      <c r="AI355" s="198"/>
      <c r="AJ355" s="198"/>
      <c r="AK355" s="198"/>
      <c r="AL355" s="198"/>
      <c r="AM355" s="198"/>
      <c r="AN355" s="198"/>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c r="BN355" s="198"/>
      <c r="BO355" s="198"/>
      <c r="BP355" s="198"/>
      <c r="BQ355" s="198"/>
      <c r="BR355" s="198"/>
      <c r="BS355" s="198"/>
      <c r="BT355" s="198"/>
      <c r="BU355" s="198"/>
      <c r="BV355" s="198"/>
      <c r="BW355" s="198"/>
      <c r="BX355" s="198"/>
      <c r="BY355" s="198"/>
      <c r="BZ355" s="198"/>
      <c r="CA355" s="198"/>
      <c r="CB355" s="198"/>
      <c r="CC355" s="198"/>
      <c r="CD355" s="198"/>
      <c r="CE355" s="198"/>
      <c r="CF355" s="198"/>
      <c r="CG355" s="198"/>
    </row>
    <row r="356" spans="1:85" s="199" customFormat="1" x14ac:dyDescent="0.25">
      <c r="A356" s="227" t="s">
        <v>23</v>
      </c>
      <c r="B356" s="221"/>
      <c r="C356" s="659"/>
      <c r="D356" s="660"/>
      <c r="E356" s="661"/>
      <c r="F356" s="661"/>
      <c r="G356" s="661"/>
      <c r="H356" s="661"/>
      <c r="I356" s="197"/>
      <c r="J356" s="197"/>
      <c r="K356" s="197"/>
      <c r="L356" s="197"/>
      <c r="M356" s="197"/>
      <c r="N356" s="197"/>
      <c r="O356" s="197"/>
      <c r="P356" s="197"/>
      <c r="Q356" s="197"/>
      <c r="R356" s="197"/>
      <c r="S356" s="197"/>
      <c r="T356" s="198"/>
      <c r="U356" s="198"/>
      <c r="V356" s="198"/>
      <c r="W356" s="198"/>
      <c r="X356" s="198"/>
      <c r="Y356" s="198"/>
      <c r="Z356" s="198"/>
      <c r="AA356" s="198"/>
      <c r="AB356" s="198"/>
      <c r="AC356" s="198"/>
      <c r="AD356" s="198"/>
      <c r="AE356" s="198"/>
      <c r="AF356" s="198"/>
      <c r="AG356" s="198"/>
      <c r="AH356" s="198"/>
      <c r="AI356" s="198"/>
      <c r="AJ356" s="198"/>
      <c r="AK356" s="198"/>
      <c r="AL356" s="198"/>
      <c r="AM356" s="198"/>
      <c r="AN356" s="198"/>
      <c r="AO356" s="198"/>
      <c r="AP356" s="198"/>
      <c r="AQ356" s="198"/>
      <c r="AR356" s="198"/>
      <c r="AS356" s="198"/>
      <c r="AT356" s="198"/>
      <c r="AU356" s="198"/>
      <c r="AV356" s="198"/>
      <c r="AW356" s="198"/>
      <c r="AX356" s="198"/>
      <c r="AY356" s="198"/>
      <c r="AZ356" s="198"/>
      <c r="BA356" s="198"/>
      <c r="BB356" s="198"/>
      <c r="BC356" s="198"/>
      <c r="BD356" s="198"/>
      <c r="BE356" s="198"/>
      <c r="BF356" s="198"/>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198"/>
      <c r="CF356" s="198"/>
      <c r="CG356" s="198"/>
    </row>
    <row r="357" spans="1:85" s="199" customFormat="1" x14ac:dyDescent="0.25">
      <c r="A357" s="169"/>
      <c r="B357" s="170"/>
      <c r="C357" s="662"/>
      <c r="D357" s="663"/>
      <c r="E357" s="664"/>
      <c r="F357" s="664"/>
      <c r="G357" s="664"/>
      <c r="H357" s="664"/>
      <c r="I357" s="197"/>
      <c r="J357" s="197"/>
      <c r="K357" s="197"/>
      <c r="L357" s="197"/>
      <c r="M357" s="197"/>
      <c r="N357" s="197"/>
      <c r="O357" s="197"/>
      <c r="P357" s="197"/>
      <c r="Q357" s="197"/>
      <c r="R357" s="197"/>
      <c r="S357" s="197"/>
      <c r="T357" s="198"/>
      <c r="U357" s="198"/>
      <c r="V357" s="198"/>
      <c r="W357" s="198"/>
      <c r="X357" s="198"/>
      <c r="Y357" s="198"/>
      <c r="Z357" s="198"/>
      <c r="AA357" s="198"/>
      <c r="AB357" s="198"/>
      <c r="AC357" s="198"/>
      <c r="AD357" s="198"/>
      <c r="AE357" s="198"/>
      <c r="AF357" s="198"/>
      <c r="AG357" s="198"/>
      <c r="AH357" s="198"/>
      <c r="AI357" s="198"/>
      <c r="AJ357" s="198"/>
      <c r="AK357" s="198"/>
      <c r="AL357" s="198"/>
      <c r="AM357" s="198"/>
      <c r="AN357" s="198"/>
      <c r="AO357" s="198"/>
      <c r="AP357" s="198"/>
      <c r="AQ357" s="198"/>
      <c r="AR357" s="198"/>
      <c r="AS357" s="198"/>
      <c r="AT357" s="198"/>
      <c r="AU357" s="198"/>
      <c r="AV357" s="198"/>
      <c r="AW357" s="198"/>
      <c r="AX357" s="198"/>
      <c r="AY357" s="198"/>
      <c r="AZ357" s="198"/>
      <c r="BA357" s="198"/>
      <c r="BB357" s="198"/>
      <c r="BC357" s="198"/>
      <c r="BD357" s="198"/>
      <c r="BE357" s="198"/>
      <c r="BF357" s="198"/>
      <c r="BG357" s="198"/>
      <c r="BH357" s="198"/>
      <c r="BI357" s="198"/>
      <c r="BJ357" s="198"/>
      <c r="BK357" s="198"/>
      <c r="BL357" s="198"/>
      <c r="BM357" s="198"/>
      <c r="BN357" s="198"/>
      <c r="BO357" s="198"/>
      <c r="BP357" s="198"/>
      <c r="BQ357" s="198"/>
      <c r="BR357" s="198"/>
      <c r="BS357" s="198"/>
      <c r="BT357" s="198"/>
      <c r="BU357" s="198"/>
      <c r="BV357" s="198"/>
      <c r="BW357" s="198"/>
      <c r="BX357" s="198"/>
      <c r="BY357" s="198"/>
      <c r="BZ357" s="198"/>
      <c r="CA357" s="198"/>
      <c r="CB357" s="198"/>
      <c r="CC357" s="198"/>
      <c r="CD357" s="198"/>
      <c r="CE357" s="198"/>
      <c r="CF357" s="198"/>
      <c r="CG357" s="198"/>
    </row>
    <row r="358" spans="1:85" s="199" customFormat="1" x14ac:dyDescent="0.25">
      <c r="A358" s="169"/>
      <c r="B358" s="170"/>
      <c r="C358" s="662"/>
      <c r="D358" s="663"/>
      <c r="E358" s="664"/>
      <c r="F358" s="664"/>
      <c r="G358" s="664"/>
      <c r="H358" s="664"/>
      <c r="I358" s="197"/>
      <c r="J358" s="197"/>
      <c r="K358" s="197"/>
      <c r="L358" s="197"/>
      <c r="M358" s="197"/>
      <c r="N358" s="197"/>
      <c r="O358" s="197"/>
      <c r="P358" s="197"/>
      <c r="Q358" s="197"/>
      <c r="R358" s="197"/>
      <c r="S358" s="197"/>
      <c r="T358" s="198"/>
      <c r="U358" s="198"/>
      <c r="V358" s="198"/>
      <c r="W358" s="198"/>
      <c r="X358" s="198"/>
      <c r="Y358" s="198"/>
      <c r="Z358" s="198"/>
      <c r="AA358" s="198"/>
      <c r="AB358" s="198"/>
      <c r="AC358" s="198"/>
      <c r="AD358" s="198"/>
      <c r="AE358" s="198"/>
      <c r="AF358" s="198"/>
      <c r="AG358" s="198"/>
      <c r="AH358" s="198"/>
      <c r="AI358" s="198"/>
      <c r="AJ358" s="198"/>
      <c r="AK358" s="198"/>
      <c r="AL358" s="198"/>
      <c r="AM358" s="198"/>
      <c r="AN358" s="198"/>
      <c r="AO358" s="198"/>
      <c r="AP358" s="198"/>
      <c r="AQ358" s="198"/>
      <c r="AR358" s="198"/>
      <c r="AS358" s="198"/>
      <c r="AT358" s="198"/>
      <c r="AU358" s="198"/>
      <c r="AV358" s="198"/>
      <c r="AW358" s="198"/>
      <c r="AX358" s="198"/>
      <c r="AY358" s="198"/>
      <c r="AZ358" s="198"/>
      <c r="BA358" s="198"/>
      <c r="BB358" s="198"/>
      <c r="BC358" s="198"/>
      <c r="BD358" s="198"/>
      <c r="BE358" s="198"/>
      <c r="BF358" s="198"/>
      <c r="BG358" s="198"/>
      <c r="BH358" s="198"/>
      <c r="BI358" s="198"/>
      <c r="BJ358" s="198"/>
      <c r="BK358" s="198"/>
      <c r="BL358" s="198"/>
      <c r="BM358" s="198"/>
      <c r="BN358" s="198"/>
      <c r="BO358" s="198"/>
      <c r="BP358" s="198"/>
      <c r="BQ358" s="198"/>
      <c r="BR358" s="198"/>
      <c r="BS358" s="198"/>
      <c r="BT358" s="198"/>
      <c r="BU358" s="198"/>
      <c r="BV358" s="198"/>
      <c r="BW358" s="198"/>
      <c r="BX358" s="198"/>
      <c r="BY358" s="198"/>
      <c r="BZ358" s="198"/>
      <c r="CA358" s="198"/>
      <c r="CB358" s="198"/>
      <c r="CC358" s="198"/>
      <c r="CD358" s="198"/>
      <c r="CE358" s="198"/>
      <c r="CF358" s="198"/>
      <c r="CG358" s="198"/>
    </row>
    <row r="359" spans="1:85" s="199" customFormat="1" x14ac:dyDescent="0.25">
      <c r="A359" s="665"/>
      <c r="B359" s="305"/>
      <c r="C359" s="666"/>
      <c r="D359" s="667"/>
      <c r="E359" s="668"/>
      <c r="F359" s="668"/>
      <c r="G359" s="668"/>
      <c r="H359" s="668"/>
      <c r="I359" s="197"/>
      <c r="J359" s="197"/>
      <c r="K359" s="197"/>
      <c r="L359" s="197"/>
      <c r="M359" s="197"/>
      <c r="N359" s="197"/>
      <c r="O359" s="197"/>
      <c r="P359" s="197"/>
      <c r="Q359" s="197"/>
      <c r="R359" s="197"/>
      <c r="S359" s="197"/>
      <c r="T359" s="198"/>
      <c r="U359" s="198"/>
      <c r="V359" s="198"/>
      <c r="W359" s="198"/>
      <c r="X359" s="198"/>
      <c r="Y359" s="198"/>
      <c r="Z359" s="198"/>
      <c r="AA359" s="198"/>
      <c r="AB359" s="198"/>
      <c r="AC359" s="198"/>
      <c r="AD359" s="198"/>
      <c r="AE359" s="198"/>
      <c r="AF359" s="198"/>
      <c r="AG359" s="198"/>
      <c r="AH359" s="198"/>
      <c r="AI359" s="198"/>
      <c r="AJ359" s="198"/>
      <c r="AK359" s="198"/>
      <c r="AL359" s="198"/>
      <c r="AM359" s="198"/>
      <c r="AN359" s="198"/>
      <c r="AO359" s="198"/>
      <c r="AP359" s="198"/>
      <c r="AQ359" s="198"/>
      <c r="AR359" s="198"/>
      <c r="AS359" s="198"/>
      <c r="AT359" s="198"/>
      <c r="AU359" s="198"/>
      <c r="AV359" s="198"/>
      <c r="AW359" s="198"/>
      <c r="AX359" s="198"/>
      <c r="AY359" s="198"/>
      <c r="AZ359" s="198"/>
      <c r="BA359" s="198"/>
      <c r="BB359" s="198"/>
      <c r="BC359" s="198"/>
      <c r="BD359" s="198"/>
      <c r="BE359" s="198"/>
      <c r="BF359" s="198"/>
      <c r="BG359" s="198"/>
      <c r="BH359" s="198"/>
      <c r="BI359" s="198"/>
      <c r="BJ359" s="198"/>
      <c r="BK359" s="198"/>
      <c r="BL359" s="198"/>
      <c r="BM359" s="198"/>
      <c r="BN359" s="198"/>
      <c r="BO359" s="198"/>
      <c r="BP359" s="198"/>
      <c r="BQ359" s="198"/>
      <c r="BR359" s="198"/>
      <c r="BS359" s="198"/>
      <c r="BT359" s="198"/>
      <c r="BU359" s="198"/>
      <c r="BV359" s="198"/>
      <c r="BW359" s="198"/>
      <c r="BX359" s="198"/>
      <c r="BY359" s="198"/>
      <c r="BZ359" s="198"/>
      <c r="CA359" s="198"/>
      <c r="CB359" s="198"/>
      <c r="CC359" s="198"/>
      <c r="CD359" s="198"/>
      <c r="CE359" s="198"/>
      <c r="CF359" s="198"/>
      <c r="CG359" s="198"/>
    </row>
    <row r="360" spans="1:85" s="199" customFormat="1" ht="15.6" x14ac:dyDescent="0.3">
      <c r="A360" s="669"/>
      <c r="B360" s="670" t="s">
        <v>160</v>
      </c>
      <c r="C360" s="608"/>
      <c r="D360" s="608"/>
      <c r="E360" s="608"/>
      <c r="F360" s="608"/>
      <c r="G360" s="608"/>
      <c r="H360" s="608"/>
      <c r="I360" s="197"/>
      <c r="J360" s="197"/>
      <c r="K360" s="197"/>
      <c r="L360" s="197"/>
      <c r="M360" s="197"/>
      <c r="N360" s="197"/>
      <c r="O360" s="197"/>
      <c r="P360" s="197"/>
      <c r="Q360" s="197"/>
      <c r="R360" s="197"/>
      <c r="S360" s="197"/>
      <c r="T360" s="198"/>
      <c r="U360" s="198"/>
      <c r="V360" s="198"/>
      <c r="W360" s="198"/>
      <c r="X360" s="198"/>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c r="BD360" s="198"/>
      <c r="BE360" s="198"/>
      <c r="BF360" s="198"/>
      <c r="BG360" s="198"/>
      <c r="BH360" s="198"/>
      <c r="BI360" s="198"/>
      <c r="BJ360" s="198"/>
      <c r="BK360" s="198"/>
      <c r="BL360" s="198"/>
      <c r="BM360" s="198"/>
      <c r="BN360" s="198"/>
      <c r="BO360" s="198"/>
      <c r="BP360" s="198"/>
      <c r="BQ360" s="198"/>
      <c r="BR360" s="198"/>
      <c r="BS360" s="198"/>
      <c r="BT360" s="198"/>
      <c r="BU360" s="198"/>
      <c r="BV360" s="198"/>
      <c r="BW360" s="198"/>
      <c r="BX360" s="198"/>
      <c r="BY360" s="198"/>
      <c r="BZ360" s="198"/>
      <c r="CA360" s="198"/>
      <c r="CB360" s="198"/>
      <c r="CC360" s="198"/>
      <c r="CD360" s="198"/>
      <c r="CE360" s="198"/>
      <c r="CF360" s="198"/>
      <c r="CG360" s="198"/>
    </row>
    <row r="361" spans="1:85" s="199" customFormat="1" ht="15.6" x14ac:dyDescent="0.3">
      <c r="A361" s="671" t="s">
        <v>59</v>
      </c>
      <c r="B361" s="672"/>
      <c r="C361" s="150" t="s">
        <v>38</v>
      </c>
      <c r="D361" s="150"/>
      <c r="E361" s="607"/>
      <c r="F361" s="607"/>
      <c r="G361" s="150"/>
      <c r="H361" s="150"/>
      <c r="I361" s="198"/>
      <c r="J361" s="198"/>
      <c r="K361" s="198"/>
      <c r="L361" s="198"/>
      <c r="M361" s="198"/>
      <c r="N361" s="198"/>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198"/>
      <c r="AM361" s="198"/>
      <c r="AN361" s="198"/>
      <c r="AO361" s="198"/>
      <c r="AP361" s="198"/>
      <c r="AQ361" s="198"/>
      <c r="AR361" s="198"/>
      <c r="AS361" s="198"/>
      <c r="AT361" s="198"/>
      <c r="AU361" s="198"/>
      <c r="AV361" s="198"/>
      <c r="AW361" s="198"/>
      <c r="AX361" s="198"/>
      <c r="AY361" s="198"/>
      <c r="AZ361" s="198"/>
      <c r="BA361" s="198"/>
      <c r="BB361" s="198"/>
      <c r="BC361" s="198"/>
      <c r="BD361" s="198"/>
      <c r="BE361" s="198"/>
      <c r="BF361" s="198"/>
      <c r="BG361" s="198"/>
      <c r="BH361" s="198"/>
      <c r="BI361" s="198"/>
      <c r="BJ361" s="198"/>
      <c r="BK361" s="198"/>
      <c r="BL361" s="198"/>
      <c r="BM361" s="198"/>
      <c r="BN361" s="198"/>
      <c r="BO361" s="198"/>
      <c r="BP361" s="198"/>
      <c r="BQ361" s="198"/>
      <c r="BR361" s="198"/>
      <c r="BS361" s="198"/>
      <c r="BT361" s="198"/>
      <c r="BU361" s="198"/>
      <c r="BV361" s="198"/>
      <c r="BW361" s="198"/>
      <c r="BX361" s="198"/>
      <c r="BY361" s="198"/>
      <c r="BZ361" s="198"/>
      <c r="CA361" s="198"/>
      <c r="CB361" s="198"/>
      <c r="CC361" s="198"/>
      <c r="CD361" s="198"/>
      <c r="CE361" s="198"/>
    </row>
    <row r="362" spans="1:85" s="199" customFormat="1" x14ac:dyDescent="0.25">
      <c r="A362" s="876" t="s">
        <v>375</v>
      </c>
      <c r="B362" s="673"/>
      <c r="C362" s="153"/>
      <c r="D362" s="609"/>
      <c r="E362" s="609"/>
      <c r="F362" s="609"/>
      <c r="G362" s="610"/>
      <c r="H362" s="674"/>
      <c r="I362" s="198"/>
      <c r="J362" s="198"/>
      <c r="K362" s="198"/>
      <c r="L362" s="198"/>
      <c r="M362" s="198"/>
      <c r="N362" s="198"/>
      <c r="O362" s="198"/>
      <c r="P362" s="198"/>
      <c r="Q362" s="198"/>
      <c r="R362" s="198"/>
      <c r="S362" s="198"/>
      <c r="T362" s="198"/>
      <c r="U362" s="198"/>
      <c r="V362" s="198"/>
      <c r="W362" s="198"/>
      <c r="X362" s="198"/>
      <c r="Y362" s="198"/>
      <c r="Z362" s="198"/>
      <c r="AA362" s="198"/>
      <c r="AB362" s="198"/>
      <c r="AC362" s="198"/>
      <c r="AD362" s="198"/>
      <c r="AE362" s="198"/>
      <c r="AF362" s="198"/>
      <c r="AG362" s="198"/>
      <c r="AH362" s="198"/>
      <c r="AI362" s="198"/>
      <c r="AJ362" s="198"/>
      <c r="AK362" s="198"/>
      <c r="AL362" s="198"/>
      <c r="AM362" s="198"/>
      <c r="AN362" s="198"/>
      <c r="AO362" s="198"/>
      <c r="AP362" s="198"/>
      <c r="AQ362" s="198"/>
      <c r="AR362" s="198"/>
      <c r="AS362" s="198"/>
      <c r="AT362" s="198"/>
      <c r="AU362" s="198"/>
      <c r="AV362" s="198"/>
      <c r="AW362" s="198"/>
      <c r="AX362" s="198"/>
      <c r="AY362" s="198"/>
      <c r="AZ362" s="198"/>
      <c r="BA362" s="198"/>
      <c r="BB362" s="198"/>
      <c r="BC362" s="198"/>
      <c r="BD362" s="198"/>
      <c r="BE362" s="198"/>
      <c r="BF362" s="198"/>
      <c r="BG362" s="198"/>
      <c r="BH362" s="198"/>
      <c r="BI362" s="198"/>
      <c r="BJ362" s="198"/>
      <c r="BK362" s="198"/>
      <c r="BL362" s="198"/>
      <c r="BM362" s="198"/>
      <c r="BN362" s="198"/>
      <c r="BO362" s="198"/>
      <c r="BP362" s="198"/>
      <c r="BQ362" s="198"/>
      <c r="BR362" s="198"/>
      <c r="BS362" s="198"/>
      <c r="BT362" s="198"/>
      <c r="BU362" s="198"/>
      <c r="BV362" s="198"/>
      <c r="BW362" s="198"/>
      <c r="BX362" s="198"/>
      <c r="BY362" s="198"/>
      <c r="BZ362" s="198"/>
      <c r="CA362" s="198"/>
      <c r="CB362" s="198"/>
      <c r="CC362" s="198"/>
      <c r="CD362" s="198"/>
      <c r="CE362" s="198"/>
    </row>
    <row r="363" spans="1:85" s="199" customFormat="1" x14ac:dyDescent="0.25">
      <c r="A363" s="156" t="s">
        <v>1</v>
      </c>
      <c r="B363" s="632"/>
      <c r="C363" s="158"/>
      <c r="D363" s="612"/>
      <c r="E363" s="612"/>
      <c r="F363" s="612"/>
      <c r="G363" s="613"/>
      <c r="H363" s="675"/>
      <c r="I363" s="198"/>
      <c r="J363" s="198"/>
      <c r="K363" s="198"/>
      <c r="L363" s="198"/>
      <c r="M363" s="198"/>
      <c r="N363" s="198"/>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c r="AM363" s="198"/>
      <c r="AN363" s="198"/>
      <c r="AO363" s="198"/>
      <c r="AP363" s="198"/>
      <c r="AQ363" s="198"/>
      <c r="AR363" s="198"/>
      <c r="AS363" s="198"/>
      <c r="AT363" s="198"/>
      <c r="AU363" s="198"/>
      <c r="AV363" s="198"/>
      <c r="AW363" s="198"/>
      <c r="AX363" s="198"/>
      <c r="AY363" s="198"/>
      <c r="AZ363" s="198"/>
      <c r="BA363" s="198"/>
      <c r="BB363" s="198"/>
      <c r="BC363" s="198"/>
      <c r="BD363" s="198"/>
      <c r="BE363" s="198"/>
      <c r="BF363" s="198"/>
      <c r="BG363" s="198"/>
      <c r="BH363" s="198"/>
      <c r="BI363" s="198"/>
      <c r="BJ363" s="198"/>
      <c r="BK363" s="198"/>
      <c r="BL363" s="198"/>
      <c r="BM363" s="198"/>
      <c r="BN363" s="198"/>
      <c r="BO363" s="198"/>
      <c r="BP363" s="198"/>
      <c r="BQ363" s="198"/>
      <c r="BR363" s="198"/>
      <c r="BS363" s="198"/>
      <c r="BT363" s="198"/>
      <c r="BU363" s="198"/>
      <c r="BV363" s="198"/>
      <c r="BW363" s="198"/>
      <c r="BX363" s="198"/>
      <c r="BY363" s="198"/>
      <c r="BZ363" s="198"/>
      <c r="CA363" s="198"/>
      <c r="CB363" s="198"/>
      <c r="CC363" s="198"/>
      <c r="CD363" s="198"/>
      <c r="CE363" s="198"/>
    </row>
    <row r="364" spans="1:85" s="199" customFormat="1" x14ac:dyDescent="0.25">
      <c r="A364" s="676" t="s">
        <v>2</v>
      </c>
      <c r="B364" s="632"/>
      <c r="C364" s="158"/>
      <c r="D364" s="612"/>
      <c r="E364" s="612"/>
      <c r="F364" s="612"/>
      <c r="G364" s="613"/>
      <c r="H364" s="675"/>
      <c r="I364" s="198"/>
      <c r="J364" s="198"/>
      <c r="K364" s="198"/>
      <c r="L364" s="198"/>
      <c r="M364" s="198"/>
      <c r="N364" s="198"/>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c r="AM364" s="198"/>
      <c r="AN364" s="198"/>
      <c r="AO364" s="198"/>
      <c r="AP364" s="198"/>
      <c r="AQ364" s="198"/>
      <c r="AR364" s="198"/>
      <c r="AS364" s="198"/>
      <c r="AT364" s="198"/>
      <c r="AU364" s="198"/>
      <c r="AV364" s="198"/>
      <c r="AW364" s="198"/>
      <c r="AX364" s="198"/>
      <c r="AY364" s="198"/>
      <c r="AZ364" s="198"/>
      <c r="BA364" s="198"/>
      <c r="BB364" s="198"/>
      <c r="BC364" s="198"/>
      <c r="BD364" s="198"/>
      <c r="BE364" s="198"/>
      <c r="BF364" s="198"/>
      <c r="BG364" s="198"/>
      <c r="BH364" s="198"/>
      <c r="BI364" s="198"/>
      <c r="BJ364" s="198"/>
      <c r="BK364" s="198"/>
      <c r="BL364" s="198"/>
      <c r="BM364" s="198"/>
      <c r="BN364" s="198"/>
      <c r="BO364" s="198"/>
      <c r="BP364" s="198"/>
      <c r="BQ364" s="198"/>
      <c r="BR364" s="198"/>
      <c r="BS364" s="198"/>
      <c r="BT364" s="198"/>
      <c r="BU364" s="198"/>
      <c r="BV364" s="198"/>
      <c r="BW364" s="198"/>
      <c r="BX364" s="198"/>
      <c r="BY364" s="198"/>
      <c r="BZ364" s="198"/>
      <c r="CA364" s="198"/>
      <c r="CB364" s="198"/>
      <c r="CC364" s="198"/>
      <c r="CD364" s="198"/>
      <c r="CE364" s="198"/>
    </row>
    <row r="365" spans="1:85" s="199" customFormat="1" ht="15.6" x14ac:dyDescent="0.25">
      <c r="A365" s="677" t="s">
        <v>208</v>
      </c>
      <c r="B365" s="678"/>
      <c r="C365" s="163"/>
      <c r="D365" s="615"/>
      <c r="E365" s="615"/>
      <c r="F365" s="615"/>
      <c r="G365" s="616"/>
      <c r="H365" s="679"/>
      <c r="I365" s="198"/>
      <c r="J365" s="198"/>
      <c r="K365" s="198"/>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c r="AM365" s="198"/>
      <c r="AN365" s="198"/>
      <c r="AO365" s="198"/>
      <c r="AP365" s="198"/>
      <c r="AQ365" s="198"/>
      <c r="AR365" s="198"/>
      <c r="AS365" s="198"/>
      <c r="AT365" s="198"/>
      <c r="AU365" s="198"/>
      <c r="AV365" s="198"/>
      <c r="AW365" s="198"/>
      <c r="AX365" s="198"/>
      <c r="AY365" s="198"/>
      <c r="AZ365" s="198"/>
      <c r="BA365" s="198"/>
      <c r="BB365" s="198"/>
      <c r="BC365" s="198"/>
      <c r="BD365" s="198"/>
      <c r="BE365" s="198"/>
      <c r="BF365" s="198"/>
      <c r="BG365" s="198"/>
      <c r="BH365" s="198"/>
      <c r="BI365" s="198"/>
      <c r="BJ365" s="198"/>
      <c r="BK365" s="198"/>
      <c r="BL365" s="198"/>
      <c r="BM365" s="198"/>
      <c r="BN365" s="198"/>
      <c r="BO365" s="198"/>
      <c r="BP365" s="198"/>
      <c r="BQ365" s="198"/>
      <c r="BR365" s="198"/>
      <c r="BS365" s="198"/>
      <c r="BT365" s="198"/>
      <c r="BU365" s="198"/>
      <c r="BV365" s="198"/>
      <c r="BW365" s="198"/>
      <c r="BX365" s="198"/>
      <c r="BY365" s="198"/>
      <c r="BZ365" s="198"/>
      <c r="CA365" s="198"/>
      <c r="CB365" s="198"/>
      <c r="CC365" s="198"/>
      <c r="CD365" s="198"/>
      <c r="CE365" s="198"/>
    </row>
    <row r="366" spans="1:85" s="199" customFormat="1" x14ac:dyDescent="0.25">
      <c r="A366" s="680" t="s">
        <v>5</v>
      </c>
      <c r="B366" s="681"/>
      <c r="C366" s="270"/>
      <c r="D366" s="682"/>
      <c r="E366" s="682"/>
      <c r="F366" s="682"/>
      <c r="G366" s="682"/>
      <c r="H366" s="682"/>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c r="AM366" s="198"/>
      <c r="AN366" s="198"/>
      <c r="AO366" s="198"/>
      <c r="AP366" s="198"/>
      <c r="AQ366" s="198"/>
      <c r="AR366" s="198"/>
      <c r="AS366" s="198"/>
      <c r="AT366" s="198"/>
      <c r="AU366" s="198"/>
      <c r="AV366" s="198"/>
      <c r="AW366" s="198"/>
      <c r="AX366" s="198"/>
      <c r="AY366" s="198"/>
      <c r="AZ366" s="198"/>
      <c r="BA366" s="198"/>
      <c r="BB366" s="198"/>
      <c r="BC366" s="198"/>
      <c r="BD366" s="198"/>
      <c r="BE366" s="198"/>
      <c r="BF366" s="198"/>
      <c r="BG366" s="198"/>
      <c r="BH366" s="198"/>
      <c r="BI366" s="198"/>
      <c r="BJ366" s="198"/>
      <c r="BK366" s="198"/>
      <c r="BL366" s="198"/>
      <c r="BM366" s="198"/>
      <c r="BN366" s="198"/>
      <c r="BO366" s="198"/>
      <c r="BP366" s="198"/>
      <c r="BQ366" s="198"/>
      <c r="BR366" s="198"/>
      <c r="BS366" s="198"/>
      <c r="BT366" s="198"/>
      <c r="BU366" s="198"/>
      <c r="BV366" s="198"/>
      <c r="BW366" s="198"/>
      <c r="BX366" s="198"/>
      <c r="BY366" s="198"/>
      <c r="BZ366" s="198"/>
      <c r="CA366" s="198"/>
      <c r="CB366" s="198"/>
      <c r="CC366" s="198"/>
      <c r="CD366" s="198"/>
      <c r="CE366" s="198"/>
    </row>
    <row r="367" spans="1:85" s="199" customFormat="1" x14ac:dyDescent="0.25">
      <c r="A367" s="683"/>
      <c r="B367" s="632" t="s">
        <v>10</v>
      </c>
      <c r="C367" s="684"/>
      <c r="D367" s="159"/>
      <c r="E367" s="159"/>
      <c r="F367" s="159"/>
      <c r="G367" s="258"/>
      <c r="H367" s="25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8"/>
      <c r="AY367" s="198"/>
      <c r="AZ367" s="198"/>
      <c r="BA367" s="198"/>
      <c r="BB367" s="198"/>
      <c r="BC367" s="198"/>
      <c r="BD367" s="198"/>
      <c r="BE367" s="198"/>
      <c r="BF367" s="198"/>
      <c r="BG367" s="198"/>
      <c r="BH367" s="198"/>
      <c r="BI367" s="198"/>
      <c r="BJ367" s="198"/>
      <c r="BK367" s="198"/>
      <c r="BL367" s="198"/>
      <c r="BM367" s="198"/>
      <c r="BN367" s="198"/>
      <c r="BO367" s="198"/>
      <c r="BP367" s="198"/>
      <c r="BQ367" s="198"/>
      <c r="BR367" s="198"/>
      <c r="BS367" s="198"/>
      <c r="BT367" s="198"/>
      <c r="BU367" s="198"/>
      <c r="BV367" s="198"/>
      <c r="BW367" s="198"/>
      <c r="BX367" s="198"/>
      <c r="BY367" s="198"/>
      <c r="BZ367" s="198"/>
      <c r="CA367" s="198"/>
      <c r="CB367" s="198"/>
      <c r="CC367" s="198"/>
      <c r="CD367" s="198"/>
      <c r="CE367" s="198"/>
    </row>
    <row r="368" spans="1:85" s="199" customFormat="1" x14ac:dyDescent="0.25">
      <c r="A368" s="683"/>
      <c r="B368" s="632" t="s">
        <v>166</v>
      </c>
      <c r="C368" s="684"/>
      <c r="D368" s="258"/>
      <c r="E368" s="258"/>
      <c r="F368" s="258"/>
      <c r="G368" s="258"/>
      <c r="H368" s="25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8"/>
      <c r="AY368" s="198"/>
      <c r="AZ368" s="198"/>
      <c r="BA368" s="198"/>
      <c r="BB368" s="198"/>
      <c r="BC368" s="198"/>
      <c r="BD368" s="198"/>
      <c r="BE368" s="198"/>
      <c r="BF368" s="198"/>
      <c r="BG368" s="198"/>
      <c r="BH368" s="198"/>
      <c r="BI368" s="198"/>
      <c r="BJ368" s="198"/>
      <c r="BK368" s="198"/>
      <c r="BL368" s="198"/>
      <c r="BM368" s="198"/>
      <c r="BN368" s="198"/>
      <c r="BO368" s="198"/>
      <c r="BP368" s="198"/>
      <c r="BQ368" s="198"/>
      <c r="BR368" s="198"/>
      <c r="BS368" s="198"/>
      <c r="BT368" s="198"/>
      <c r="BU368" s="198"/>
      <c r="BV368" s="198"/>
      <c r="BW368" s="198"/>
      <c r="BX368" s="198"/>
      <c r="BY368" s="198"/>
      <c r="BZ368" s="198"/>
      <c r="CA368" s="198"/>
      <c r="CB368" s="198"/>
      <c r="CC368" s="198"/>
      <c r="CD368" s="198"/>
      <c r="CE368" s="198"/>
    </row>
    <row r="369" spans="1:83" s="199" customFormat="1" x14ac:dyDescent="0.25">
      <c r="A369" s="683"/>
      <c r="B369" s="632" t="s">
        <v>165</v>
      </c>
      <c r="C369" s="684"/>
      <c r="D369" s="258"/>
      <c r="E369" s="258"/>
      <c r="F369" s="258"/>
      <c r="G369" s="258"/>
      <c r="H369" s="258"/>
      <c r="I369" s="198"/>
      <c r="J369" s="198"/>
      <c r="K369" s="198"/>
      <c r="L369" s="198"/>
      <c r="M369" s="198"/>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c r="AM369" s="198"/>
      <c r="AN369" s="198"/>
      <c r="AO369" s="198"/>
      <c r="AP369" s="198"/>
      <c r="AQ369" s="198"/>
      <c r="AR369" s="198"/>
      <c r="AS369" s="198"/>
      <c r="AT369" s="198"/>
      <c r="AU369" s="198"/>
      <c r="AV369" s="198"/>
      <c r="AW369" s="198"/>
      <c r="AX369" s="198"/>
      <c r="AY369" s="198"/>
      <c r="AZ369" s="198"/>
      <c r="BA369" s="198"/>
      <c r="BB369" s="198"/>
      <c r="BC369" s="198"/>
      <c r="BD369" s="198"/>
      <c r="BE369" s="198"/>
      <c r="BF369" s="198"/>
      <c r="BG369" s="198"/>
      <c r="BH369" s="198"/>
      <c r="BI369" s="198"/>
      <c r="BJ369" s="198"/>
      <c r="BK369" s="198"/>
      <c r="BL369" s="198"/>
      <c r="BM369" s="198"/>
      <c r="BN369" s="198"/>
      <c r="BO369" s="198"/>
      <c r="BP369" s="198"/>
      <c r="BQ369" s="198"/>
      <c r="BR369" s="198"/>
      <c r="BS369" s="198"/>
      <c r="BT369" s="198"/>
      <c r="BU369" s="198"/>
      <c r="BV369" s="198"/>
      <c r="BW369" s="198"/>
      <c r="BX369" s="198"/>
      <c r="BY369" s="198"/>
      <c r="BZ369" s="198"/>
      <c r="CA369" s="198"/>
      <c r="CB369" s="198"/>
      <c r="CC369" s="198"/>
      <c r="CD369" s="198"/>
      <c r="CE369" s="198"/>
    </row>
    <row r="370" spans="1:83" s="199" customFormat="1" x14ac:dyDescent="0.25">
      <c r="A370" s="683"/>
      <c r="B370" s="632" t="s">
        <v>60</v>
      </c>
      <c r="C370" s="684"/>
      <c r="D370" s="258"/>
      <c r="E370" s="258"/>
      <c r="F370" s="258"/>
      <c r="G370" s="258"/>
      <c r="H370" s="25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8"/>
      <c r="AY370" s="198"/>
      <c r="AZ370" s="198"/>
      <c r="BA370" s="198"/>
      <c r="BB370" s="198"/>
      <c r="BC370" s="198"/>
      <c r="BD370" s="198"/>
      <c r="BE370" s="198"/>
      <c r="BF370" s="198"/>
      <c r="BG370" s="198"/>
      <c r="BH370" s="198"/>
      <c r="BI370" s="198"/>
      <c r="BJ370" s="198"/>
      <c r="BK370" s="198"/>
      <c r="BL370" s="198"/>
      <c r="BM370" s="198"/>
      <c r="BN370" s="198"/>
      <c r="BO370" s="198"/>
      <c r="BP370" s="198"/>
      <c r="BQ370" s="198"/>
      <c r="BR370" s="198"/>
      <c r="BS370" s="198"/>
      <c r="BT370" s="198"/>
      <c r="BU370" s="198"/>
      <c r="BV370" s="198"/>
      <c r="BW370" s="198"/>
      <c r="BX370" s="198"/>
      <c r="BY370" s="198"/>
      <c r="BZ370" s="198"/>
      <c r="CA370" s="198"/>
      <c r="CB370" s="198"/>
      <c r="CC370" s="198"/>
      <c r="CD370" s="198"/>
      <c r="CE370" s="198"/>
    </row>
    <row r="371" spans="1:83" s="199" customFormat="1" x14ac:dyDescent="0.25">
      <c r="A371" s="683"/>
      <c r="B371" s="632" t="s">
        <v>161</v>
      </c>
      <c r="C371" s="684"/>
      <c r="D371" s="258"/>
      <c r="E371" s="258"/>
      <c r="F371" s="258"/>
      <c r="G371" s="258"/>
      <c r="H371" s="25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8"/>
      <c r="AY371" s="198"/>
      <c r="AZ371" s="198"/>
      <c r="BA371" s="198"/>
      <c r="BB371" s="198"/>
      <c r="BC371" s="198"/>
      <c r="BD371" s="198"/>
      <c r="BE371" s="198"/>
      <c r="BF371" s="198"/>
      <c r="BG371" s="198"/>
      <c r="BH371" s="198"/>
      <c r="BI371" s="198"/>
      <c r="BJ371" s="198"/>
      <c r="BK371" s="198"/>
      <c r="BL371" s="198"/>
      <c r="BM371" s="198"/>
      <c r="BN371" s="198"/>
      <c r="BO371" s="198"/>
      <c r="BP371" s="198"/>
      <c r="BQ371" s="198"/>
      <c r="BR371" s="198"/>
      <c r="BS371" s="198"/>
      <c r="BT371" s="198"/>
      <c r="BU371" s="198"/>
      <c r="BV371" s="198"/>
      <c r="BW371" s="198"/>
      <c r="BX371" s="198"/>
      <c r="BY371" s="198"/>
      <c r="BZ371" s="198"/>
      <c r="CA371" s="198"/>
      <c r="CB371" s="198"/>
      <c r="CC371" s="198"/>
      <c r="CD371" s="198"/>
      <c r="CE371" s="198"/>
    </row>
    <row r="372" spans="1:83" s="199" customFormat="1" x14ac:dyDescent="0.25">
      <c r="A372" s="683"/>
      <c r="B372" s="632" t="s">
        <v>61</v>
      </c>
      <c r="C372" s="684"/>
      <c r="D372" s="258"/>
      <c r="E372" s="258"/>
      <c r="F372" s="258"/>
      <c r="G372" s="258"/>
      <c r="H372" s="258"/>
      <c r="I372" s="198"/>
      <c r="J372" s="198"/>
      <c r="K372" s="198"/>
      <c r="L372" s="198"/>
      <c r="M372" s="198"/>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8"/>
      <c r="AL372" s="198"/>
      <c r="AM372" s="198"/>
      <c r="AN372" s="198"/>
      <c r="AO372" s="198"/>
      <c r="AP372" s="198"/>
      <c r="AQ372" s="198"/>
      <c r="AR372" s="198"/>
      <c r="AS372" s="198"/>
      <c r="AT372" s="198"/>
      <c r="AU372" s="198"/>
      <c r="AV372" s="198"/>
      <c r="AW372" s="198"/>
      <c r="AX372" s="198"/>
      <c r="AY372" s="198"/>
      <c r="AZ372" s="198"/>
      <c r="BA372" s="198"/>
      <c r="BB372" s="198"/>
      <c r="BC372" s="198"/>
      <c r="BD372" s="198"/>
      <c r="BE372" s="198"/>
      <c r="BF372" s="198"/>
      <c r="BG372" s="198"/>
      <c r="BH372" s="198"/>
      <c r="BI372" s="198"/>
      <c r="BJ372" s="198"/>
      <c r="BK372" s="198"/>
      <c r="BL372" s="198"/>
      <c r="BM372" s="198"/>
      <c r="BN372" s="198"/>
      <c r="BO372" s="198"/>
      <c r="BP372" s="198"/>
      <c r="BQ372" s="198"/>
      <c r="BR372" s="198"/>
      <c r="BS372" s="198"/>
      <c r="BT372" s="198"/>
      <c r="BU372" s="198"/>
      <c r="BV372" s="198"/>
      <c r="BW372" s="198"/>
      <c r="BX372" s="198"/>
      <c r="BY372" s="198"/>
      <c r="BZ372" s="198"/>
      <c r="CA372" s="198"/>
      <c r="CB372" s="198"/>
      <c r="CC372" s="198"/>
      <c r="CD372" s="198"/>
      <c r="CE372" s="198"/>
    </row>
    <row r="373" spans="1:83" s="199" customFormat="1" x14ac:dyDescent="0.25">
      <c r="A373" s="683"/>
      <c r="B373" s="632" t="s">
        <v>167</v>
      </c>
      <c r="C373" s="684"/>
      <c r="D373" s="258"/>
      <c r="E373" s="258"/>
      <c r="F373" s="258"/>
      <c r="G373" s="258"/>
      <c r="H373" s="258"/>
      <c r="I373" s="198"/>
      <c r="J373" s="198"/>
      <c r="K373" s="198"/>
      <c r="L373" s="198"/>
      <c r="M373" s="198"/>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8"/>
      <c r="AL373" s="198"/>
      <c r="AM373" s="198"/>
      <c r="AN373" s="198"/>
      <c r="AO373" s="198"/>
      <c r="AP373" s="198"/>
      <c r="AQ373" s="198"/>
      <c r="AR373" s="198"/>
      <c r="AS373" s="198"/>
      <c r="AT373" s="198"/>
      <c r="AU373" s="198"/>
      <c r="AV373" s="198"/>
      <c r="AW373" s="198"/>
      <c r="AX373" s="198"/>
      <c r="AY373" s="198"/>
      <c r="AZ373" s="198"/>
      <c r="BA373" s="198"/>
      <c r="BB373" s="198"/>
      <c r="BC373" s="198"/>
      <c r="BD373" s="198"/>
      <c r="BE373" s="198"/>
      <c r="BF373" s="198"/>
      <c r="BG373" s="198"/>
      <c r="BH373" s="198"/>
      <c r="BI373" s="198"/>
      <c r="BJ373" s="198"/>
      <c r="BK373" s="198"/>
      <c r="BL373" s="198"/>
      <c r="BM373" s="198"/>
      <c r="BN373" s="198"/>
      <c r="BO373" s="198"/>
      <c r="BP373" s="198"/>
      <c r="BQ373" s="198"/>
      <c r="BR373" s="198"/>
      <c r="BS373" s="198"/>
      <c r="BT373" s="198"/>
      <c r="BU373" s="198"/>
      <c r="BV373" s="198"/>
      <c r="BW373" s="198"/>
      <c r="BX373" s="198"/>
      <c r="BY373" s="198"/>
      <c r="BZ373" s="198"/>
      <c r="CA373" s="198"/>
      <c r="CB373" s="198"/>
      <c r="CC373" s="198"/>
      <c r="CD373" s="198"/>
      <c r="CE373" s="198"/>
    </row>
    <row r="374" spans="1:83" s="199" customFormat="1" x14ac:dyDescent="0.25">
      <c r="A374" s="683"/>
      <c r="B374" s="632" t="s">
        <v>163</v>
      </c>
      <c r="C374" s="684"/>
      <c r="D374" s="258"/>
      <c r="E374" s="258"/>
      <c r="F374" s="258"/>
      <c r="G374" s="258"/>
      <c r="H374" s="258"/>
      <c r="I374" s="198"/>
      <c r="J374" s="198"/>
      <c r="K374" s="198"/>
      <c r="L374" s="198"/>
      <c r="M374" s="198"/>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8"/>
      <c r="AN374" s="198"/>
      <c r="AO374" s="198"/>
      <c r="AP374" s="198"/>
      <c r="AQ374" s="198"/>
      <c r="AR374" s="198"/>
      <c r="AS374" s="198"/>
      <c r="AT374" s="198"/>
      <c r="AU374" s="198"/>
      <c r="AV374" s="198"/>
      <c r="AW374" s="198"/>
      <c r="AX374" s="198"/>
      <c r="AY374" s="198"/>
      <c r="AZ374" s="198"/>
      <c r="BA374" s="198"/>
      <c r="BB374" s="198"/>
      <c r="BC374" s="198"/>
      <c r="BD374" s="198"/>
      <c r="BE374" s="198"/>
      <c r="BF374" s="198"/>
      <c r="BG374" s="198"/>
      <c r="BH374" s="198"/>
      <c r="BI374" s="198"/>
      <c r="BJ374" s="198"/>
      <c r="BK374" s="198"/>
      <c r="BL374" s="198"/>
      <c r="BM374" s="198"/>
      <c r="BN374" s="198"/>
      <c r="BO374" s="198"/>
      <c r="BP374" s="198"/>
      <c r="BQ374" s="198"/>
      <c r="BR374" s="198"/>
      <c r="BS374" s="198"/>
      <c r="BT374" s="198"/>
      <c r="BU374" s="198"/>
      <c r="BV374" s="198"/>
      <c r="BW374" s="198"/>
      <c r="BX374" s="198"/>
      <c r="BY374" s="198"/>
      <c r="BZ374" s="198"/>
      <c r="CA374" s="198"/>
      <c r="CB374" s="198"/>
      <c r="CC374" s="198"/>
      <c r="CD374" s="198"/>
      <c r="CE374" s="198"/>
    </row>
    <row r="375" spans="1:83" s="199" customFormat="1" x14ac:dyDescent="0.25">
      <c r="A375" s="683"/>
      <c r="B375" s="632" t="s">
        <v>164</v>
      </c>
      <c r="C375" s="684"/>
      <c r="D375" s="258"/>
      <c r="E375" s="258"/>
      <c r="F375" s="258"/>
      <c r="G375" s="258"/>
      <c r="H375" s="258"/>
      <c r="I375" s="198"/>
      <c r="J375" s="198"/>
      <c r="K375" s="198"/>
      <c r="L375" s="198"/>
      <c r="M375" s="198"/>
      <c r="N375" s="198"/>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c r="AM375" s="198"/>
      <c r="AN375" s="198"/>
      <c r="AO375" s="198"/>
      <c r="AP375" s="198"/>
      <c r="AQ375" s="198"/>
      <c r="AR375" s="198"/>
      <c r="AS375" s="198"/>
      <c r="AT375" s="198"/>
      <c r="AU375" s="198"/>
      <c r="AV375" s="198"/>
      <c r="AW375" s="198"/>
      <c r="AX375" s="198"/>
      <c r="AY375" s="198"/>
      <c r="AZ375" s="198"/>
      <c r="BA375" s="198"/>
      <c r="BB375" s="198"/>
      <c r="BC375" s="198"/>
      <c r="BD375" s="198"/>
      <c r="BE375" s="198"/>
      <c r="BF375" s="198"/>
      <c r="BG375" s="198"/>
      <c r="BH375" s="198"/>
      <c r="BI375" s="198"/>
      <c r="BJ375" s="198"/>
      <c r="BK375" s="198"/>
      <c r="BL375" s="198"/>
      <c r="BM375" s="198"/>
      <c r="BN375" s="198"/>
      <c r="BO375" s="198"/>
      <c r="BP375" s="198"/>
      <c r="BQ375" s="198"/>
      <c r="BR375" s="198"/>
      <c r="BS375" s="198"/>
      <c r="BT375" s="198"/>
      <c r="BU375" s="198"/>
      <c r="BV375" s="198"/>
      <c r="BW375" s="198"/>
      <c r="BX375" s="198"/>
      <c r="BY375" s="198"/>
      <c r="BZ375" s="198"/>
      <c r="CA375" s="198"/>
      <c r="CB375" s="198"/>
      <c r="CC375" s="198"/>
      <c r="CD375" s="198"/>
      <c r="CE375" s="198"/>
    </row>
    <row r="376" spans="1:83" s="199" customFormat="1" x14ac:dyDescent="0.25">
      <c r="A376" s="683"/>
      <c r="B376" s="632" t="s">
        <v>313</v>
      </c>
      <c r="C376" s="684"/>
      <c r="D376" s="258"/>
      <c r="E376" s="258"/>
      <c r="F376" s="258"/>
      <c r="G376" s="258"/>
      <c r="H376" s="258"/>
      <c r="I376" s="198"/>
      <c r="J376" s="198"/>
      <c r="K376" s="198"/>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c r="AM376" s="198"/>
      <c r="AN376" s="198"/>
      <c r="AO376" s="198"/>
      <c r="AP376" s="198"/>
      <c r="AQ376" s="198"/>
      <c r="AR376" s="198"/>
      <c r="AS376" s="198"/>
      <c r="AT376" s="198"/>
      <c r="AU376" s="198"/>
      <c r="AV376" s="198"/>
      <c r="AW376" s="198"/>
      <c r="AX376" s="198"/>
      <c r="AY376" s="198"/>
      <c r="AZ376" s="198"/>
      <c r="BA376" s="198"/>
      <c r="BB376" s="198"/>
      <c r="BC376" s="198"/>
      <c r="BD376" s="198"/>
      <c r="BE376" s="198"/>
      <c r="BF376" s="198"/>
      <c r="BG376" s="198"/>
      <c r="BH376" s="198"/>
      <c r="BI376" s="198"/>
      <c r="BJ376" s="198"/>
      <c r="BK376" s="198"/>
      <c r="BL376" s="198"/>
      <c r="BM376" s="198"/>
      <c r="BN376" s="198"/>
      <c r="BO376" s="198"/>
      <c r="BP376" s="198"/>
      <c r="BQ376" s="198"/>
      <c r="BR376" s="198"/>
      <c r="BS376" s="198"/>
      <c r="BT376" s="198"/>
      <c r="BU376" s="198"/>
      <c r="BV376" s="198"/>
      <c r="BW376" s="198"/>
      <c r="BX376" s="198"/>
      <c r="BY376" s="198"/>
      <c r="BZ376" s="198"/>
      <c r="CA376" s="198"/>
      <c r="CB376" s="198"/>
      <c r="CC376" s="198"/>
      <c r="CD376" s="198"/>
      <c r="CE376" s="198"/>
    </row>
    <row r="377" spans="1:83" s="199" customFormat="1" x14ac:dyDescent="0.25">
      <c r="A377" s="683"/>
      <c r="B377" s="632" t="s">
        <v>162</v>
      </c>
      <c r="C377" s="684"/>
      <c r="D377" s="258"/>
      <c r="E377" s="258"/>
      <c r="F377" s="258"/>
      <c r="G377" s="258"/>
      <c r="H377" s="258"/>
      <c r="I377" s="198"/>
      <c r="J377" s="198"/>
      <c r="K377" s="198"/>
      <c r="L377" s="198"/>
      <c r="M377" s="198"/>
      <c r="N377" s="198"/>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198"/>
      <c r="AK377" s="198"/>
      <c r="AL377" s="198"/>
      <c r="AM377" s="198"/>
      <c r="AN377" s="198"/>
      <c r="AO377" s="198"/>
      <c r="AP377" s="198"/>
      <c r="AQ377" s="198"/>
      <c r="AR377" s="198"/>
      <c r="AS377" s="198"/>
      <c r="AT377" s="198"/>
      <c r="AU377" s="198"/>
      <c r="AV377" s="198"/>
      <c r="AW377" s="198"/>
      <c r="AX377" s="198"/>
      <c r="AY377" s="198"/>
      <c r="AZ377" s="198"/>
      <c r="BA377" s="198"/>
      <c r="BB377" s="198"/>
      <c r="BC377" s="198"/>
      <c r="BD377" s="198"/>
      <c r="BE377" s="198"/>
      <c r="BF377" s="198"/>
      <c r="BG377" s="198"/>
      <c r="BH377" s="198"/>
      <c r="BI377" s="198"/>
      <c r="BJ377" s="198"/>
      <c r="BK377" s="198"/>
      <c r="BL377" s="198"/>
      <c r="BM377" s="198"/>
      <c r="BN377" s="198"/>
      <c r="BO377" s="198"/>
      <c r="BP377" s="198"/>
      <c r="BQ377" s="198"/>
      <c r="BR377" s="198"/>
      <c r="BS377" s="198"/>
      <c r="BT377" s="198"/>
      <c r="BU377" s="198"/>
      <c r="BV377" s="198"/>
      <c r="BW377" s="198"/>
      <c r="BX377" s="198"/>
      <c r="BY377" s="198"/>
      <c r="BZ377" s="198"/>
      <c r="CA377" s="198"/>
      <c r="CB377" s="198"/>
      <c r="CC377" s="198"/>
      <c r="CD377" s="198"/>
      <c r="CE377" s="198"/>
    </row>
    <row r="378" spans="1:83" s="199" customFormat="1" ht="15.6" thickBot="1" x14ac:dyDescent="0.3">
      <c r="A378" s="685"/>
      <c r="B378" s="686"/>
      <c r="C378" s="687"/>
      <c r="D378" s="688"/>
      <c r="E378" s="688"/>
      <c r="F378" s="688"/>
      <c r="G378" s="688"/>
      <c r="H378" s="688"/>
      <c r="I378" s="198"/>
      <c r="J378" s="198"/>
      <c r="K378" s="198"/>
      <c r="L378" s="198"/>
      <c r="M378" s="198"/>
      <c r="N378" s="198"/>
      <c r="O378" s="198"/>
      <c r="P378" s="198"/>
      <c r="Q378" s="198"/>
      <c r="R378" s="198"/>
      <c r="S378" s="198"/>
      <c r="T378" s="198"/>
      <c r="U378" s="198"/>
      <c r="V378" s="198"/>
      <c r="W378" s="198"/>
      <c r="X378" s="198"/>
      <c r="Y378" s="198"/>
      <c r="Z378" s="198"/>
      <c r="AA378" s="198"/>
      <c r="AB378" s="198"/>
      <c r="AC378" s="198"/>
      <c r="AD378" s="198"/>
      <c r="AE378" s="198"/>
      <c r="AF378" s="198"/>
      <c r="AG378" s="198"/>
      <c r="AH378" s="198"/>
      <c r="AI378" s="198"/>
      <c r="AJ378" s="198"/>
      <c r="AK378" s="198"/>
      <c r="AL378" s="198"/>
      <c r="AM378" s="198"/>
      <c r="AN378" s="198"/>
      <c r="AO378" s="198"/>
      <c r="AP378" s="198"/>
      <c r="AQ378" s="198"/>
      <c r="AR378" s="198"/>
      <c r="AS378" s="198"/>
      <c r="AT378" s="198"/>
      <c r="AU378" s="198"/>
      <c r="AV378" s="198"/>
      <c r="AW378" s="198"/>
      <c r="AX378" s="198"/>
      <c r="AY378" s="198"/>
      <c r="AZ378" s="198"/>
      <c r="BA378" s="198"/>
      <c r="BB378" s="198"/>
      <c r="BC378" s="198"/>
      <c r="BD378" s="198"/>
      <c r="BE378" s="198"/>
      <c r="BF378" s="198"/>
      <c r="BG378" s="198"/>
      <c r="BH378" s="198"/>
      <c r="BI378" s="198"/>
      <c r="BJ378" s="198"/>
      <c r="BK378" s="198"/>
      <c r="BL378" s="198"/>
      <c r="BM378" s="198"/>
      <c r="BN378" s="198"/>
      <c r="BO378" s="198"/>
      <c r="BP378" s="198"/>
      <c r="BQ378" s="198"/>
      <c r="BR378" s="198"/>
      <c r="BS378" s="198"/>
      <c r="BT378" s="198"/>
      <c r="BU378" s="198"/>
      <c r="BV378" s="198"/>
      <c r="BW378" s="198"/>
      <c r="BX378" s="198"/>
      <c r="BY378" s="198"/>
      <c r="BZ378" s="198"/>
      <c r="CA378" s="198"/>
      <c r="CB378" s="198"/>
      <c r="CC378" s="198"/>
      <c r="CD378" s="198"/>
      <c r="CE378" s="198"/>
    </row>
    <row r="379" spans="1:83" s="199" customFormat="1" ht="16.2" thickTop="1" x14ac:dyDescent="0.3">
      <c r="A379" s="689" t="s">
        <v>6</v>
      </c>
      <c r="B379" s="690"/>
      <c r="C379" s="272"/>
      <c r="D379" s="691"/>
      <c r="E379" s="691"/>
      <c r="F379" s="691"/>
      <c r="G379" s="691"/>
      <c r="H379" s="691"/>
      <c r="I379" s="198"/>
      <c r="J379" s="198"/>
      <c r="K379" s="198"/>
      <c r="L379" s="198"/>
      <c r="M379" s="198"/>
      <c r="N379" s="198"/>
      <c r="O379" s="198"/>
      <c r="P379" s="198"/>
      <c r="Q379" s="198"/>
      <c r="R379" s="198"/>
      <c r="S379" s="198"/>
      <c r="T379" s="198"/>
      <c r="U379" s="198"/>
      <c r="V379" s="198"/>
      <c r="W379" s="198"/>
      <c r="X379" s="198"/>
      <c r="Y379" s="198"/>
      <c r="Z379" s="198"/>
      <c r="AA379" s="198"/>
      <c r="AB379" s="198"/>
      <c r="AC379" s="198"/>
      <c r="AD379" s="198"/>
      <c r="AE379" s="198"/>
      <c r="AF379" s="198"/>
      <c r="AG379" s="198"/>
      <c r="AH379" s="198"/>
      <c r="AI379" s="198"/>
      <c r="AJ379" s="198"/>
      <c r="AK379" s="198"/>
      <c r="AL379" s="198"/>
      <c r="AM379" s="198"/>
      <c r="AN379" s="198"/>
      <c r="AO379" s="198"/>
      <c r="AP379" s="198"/>
      <c r="AQ379" s="198"/>
      <c r="AR379" s="198"/>
      <c r="AS379" s="198"/>
      <c r="AT379" s="198"/>
      <c r="AU379" s="198"/>
      <c r="AV379" s="198"/>
      <c r="AW379" s="198"/>
      <c r="AX379" s="198"/>
      <c r="AY379" s="198"/>
      <c r="AZ379" s="198"/>
      <c r="BA379" s="198"/>
      <c r="BB379" s="198"/>
      <c r="BC379" s="198"/>
      <c r="BD379" s="198"/>
      <c r="BE379" s="198"/>
      <c r="BF379" s="198"/>
      <c r="BG379" s="198"/>
      <c r="BH379" s="198"/>
      <c r="BI379" s="198"/>
      <c r="BJ379" s="198"/>
      <c r="BK379" s="198"/>
      <c r="BL379" s="198"/>
      <c r="BM379" s="198"/>
      <c r="BN379" s="198"/>
      <c r="BO379" s="198"/>
      <c r="BP379" s="198"/>
      <c r="BQ379" s="198"/>
      <c r="BR379" s="198"/>
      <c r="BS379" s="198"/>
      <c r="BT379" s="198"/>
      <c r="BU379" s="198"/>
      <c r="BV379" s="198"/>
      <c r="BW379" s="198"/>
      <c r="BX379" s="198"/>
      <c r="BY379" s="198"/>
      <c r="BZ379" s="198"/>
      <c r="CA379" s="198"/>
      <c r="CB379" s="198"/>
      <c r="CC379" s="198"/>
      <c r="CD379" s="198"/>
      <c r="CE379" s="198"/>
    </row>
    <row r="380" spans="1:83" s="199" customFormat="1" ht="15.6" x14ac:dyDescent="0.25">
      <c r="A380" s="692"/>
      <c r="B380" s="190" t="s">
        <v>62</v>
      </c>
      <c r="C380" s="273"/>
      <c r="D380" s="693"/>
      <c r="E380" s="693"/>
      <c r="F380" s="693"/>
      <c r="G380" s="693"/>
      <c r="H380" s="694"/>
      <c r="I380" s="198"/>
      <c r="J380" s="198"/>
      <c r="K380" s="198"/>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198"/>
      <c r="AN380" s="198"/>
      <c r="AO380" s="198"/>
      <c r="AP380" s="198"/>
      <c r="AQ380" s="198"/>
      <c r="AR380" s="198"/>
      <c r="AS380" s="198"/>
      <c r="AT380" s="198"/>
      <c r="AU380" s="198"/>
      <c r="AV380" s="198"/>
      <c r="AW380" s="198"/>
      <c r="AX380" s="198"/>
      <c r="AY380" s="198"/>
      <c r="AZ380" s="198"/>
      <c r="BA380" s="198"/>
      <c r="BB380" s="198"/>
      <c r="BC380" s="198"/>
      <c r="BD380" s="198"/>
      <c r="BE380" s="198"/>
      <c r="BF380" s="198"/>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198"/>
    </row>
    <row r="381" spans="1:83" s="199" customFormat="1" x14ac:dyDescent="0.25">
      <c r="A381" s="692"/>
      <c r="B381" s="190" t="s">
        <v>63</v>
      </c>
      <c r="C381" s="695"/>
      <c r="D381" s="694"/>
      <c r="E381" s="694"/>
      <c r="F381" s="694"/>
      <c r="G381" s="694"/>
      <c r="H381" s="694"/>
      <c r="I381" s="198"/>
      <c r="J381" s="198"/>
      <c r="K381" s="198"/>
      <c r="L381" s="198"/>
      <c r="M381" s="198"/>
      <c r="N381" s="198"/>
      <c r="O381" s="198"/>
      <c r="P381" s="198"/>
      <c r="Q381" s="198"/>
      <c r="R381" s="198"/>
      <c r="S381" s="198"/>
      <c r="T381" s="198"/>
      <c r="U381" s="198"/>
      <c r="V381" s="198"/>
      <c r="W381" s="198"/>
      <c r="X381" s="198"/>
      <c r="Y381" s="198"/>
      <c r="Z381" s="198"/>
      <c r="AA381" s="198"/>
      <c r="AB381" s="198"/>
      <c r="AC381" s="198"/>
      <c r="AD381" s="198"/>
      <c r="AE381" s="198"/>
      <c r="AF381" s="198"/>
      <c r="AG381" s="198"/>
      <c r="AH381" s="198"/>
      <c r="AI381" s="198"/>
      <c r="AJ381" s="198"/>
      <c r="AK381" s="198"/>
      <c r="AL381" s="198"/>
      <c r="AM381" s="198"/>
      <c r="AN381" s="198"/>
      <c r="AO381" s="198"/>
      <c r="AP381" s="198"/>
      <c r="AQ381" s="198"/>
      <c r="AR381" s="198"/>
      <c r="AS381" s="198"/>
      <c r="AT381" s="198"/>
      <c r="AU381" s="198"/>
      <c r="AV381" s="198"/>
      <c r="AW381" s="198"/>
      <c r="AX381" s="198"/>
      <c r="AY381" s="198"/>
      <c r="AZ381" s="198"/>
      <c r="BA381" s="198"/>
      <c r="BB381" s="198"/>
      <c r="BC381" s="198"/>
      <c r="BD381" s="198"/>
      <c r="BE381" s="198"/>
      <c r="BF381" s="198"/>
      <c r="BG381" s="198"/>
      <c r="BH381" s="198"/>
      <c r="BI381" s="198"/>
      <c r="BJ381" s="198"/>
      <c r="BK381" s="198"/>
      <c r="BL381" s="198"/>
      <c r="BM381" s="198"/>
      <c r="BN381" s="198"/>
      <c r="BO381" s="198"/>
      <c r="BP381" s="198"/>
      <c r="BQ381" s="198"/>
      <c r="BR381" s="198"/>
      <c r="BS381" s="198"/>
      <c r="BT381" s="198"/>
      <c r="BU381" s="198"/>
      <c r="BV381" s="198"/>
      <c r="BW381" s="198"/>
      <c r="BX381" s="198"/>
      <c r="BY381" s="198"/>
      <c r="BZ381" s="198"/>
      <c r="CA381" s="198"/>
      <c r="CB381" s="198"/>
      <c r="CC381" s="198"/>
      <c r="CD381" s="198"/>
      <c r="CE381" s="198"/>
    </row>
    <row r="382" spans="1:83" s="199" customFormat="1" ht="15.6" x14ac:dyDescent="0.25">
      <c r="A382" s="692"/>
      <c r="B382" s="190" t="s">
        <v>376</v>
      </c>
      <c r="C382" s="273"/>
      <c r="D382" s="694"/>
      <c r="E382" s="694"/>
      <c r="F382" s="694"/>
      <c r="G382" s="693"/>
      <c r="H382" s="694"/>
      <c r="I382" s="198"/>
      <c r="J382" s="198"/>
      <c r="K382" s="198"/>
      <c r="L382" s="198"/>
      <c r="M382" s="198"/>
      <c r="N382" s="198"/>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c r="AM382" s="198"/>
      <c r="AN382" s="198"/>
      <c r="AO382" s="198"/>
      <c r="AP382" s="198"/>
      <c r="AQ382" s="198"/>
      <c r="AR382" s="198"/>
      <c r="AS382" s="198"/>
      <c r="AT382" s="198"/>
      <c r="AU382" s="198"/>
      <c r="AV382" s="198"/>
      <c r="AW382" s="198"/>
      <c r="AX382" s="198"/>
      <c r="AY382" s="198"/>
      <c r="AZ382" s="198"/>
      <c r="BA382" s="198"/>
      <c r="BB382" s="198"/>
      <c r="BC382" s="198"/>
      <c r="BD382" s="198"/>
      <c r="BE382" s="198"/>
      <c r="BF382" s="198"/>
      <c r="BG382" s="198"/>
      <c r="BH382" s="198"/>
      <c r="BI382" s="198"/>
      <c r="BJ382" s="198"/>
      <c r="BK382" s="198"/>
      <c r="BL382" s="198"/>
      <c r="BM382" s="198"/>
      <c r="BN382" s="198"/>
      <c r="BO382" s="198"/>
      <c r="BP382" s="198"/>
      <c r="BQ382" s="198"/>
      <c r="BR382" s="198"/>
      <c r="BS382" s="198"/>
      <c r="BT382" s="198"/>
      <c r="BU382" s="198"/>
      <c r="BV382" s="198"/>
      <c r="BW382" s="198"/>
      <c r="BX382" s="198"/>
      <c r="BY382" s="198"/>
      <c r="BZ382" s="198"/>
      <c r="CA382" s="198"/>
      <c r="CB382" s="198"/>
      <c r="CC382" s="198"/>
      <c r="CD382" s="198"/>
      <c r="CE382" s="198"/>
    </row>
    <row r="383" spans="1:83" s="199" customFormat="1" ht="15.6" thickBot="1" x14ac:dyDescent="0.3">
      <c r="A383" s="696"/>
      <c r="B383" s="697" t="s">
        <v>64</v>
      </c>
      <c r="C383" s="698"/>
      <c r="D383" s="250"/>
      <c r="E383" s="250"/>
      <c r="F383" s="250"/>
      <c r="G383" s="699"/>
      <c r="H383" s="699"/>
      <c r="I383" s="198"/>
      <c r="J383" s="198"/>
      <c r="K383" s="198"/>
      <c r="L383" s="198"/>
      <c r="M383" s="198"/>
      <c r="N383" s="198"/>
      <c r="O383" s="198"/>
      <c r="P383" s="198"/>
      <c r="Q383" s="198"/>
      <c r="R383" s="198"/>
      <c r="S383" s="198"/>
      <c r="T383" s="198"/>
      <c r="U383" s="198"/>
      <c r="V383" s="198"/>
      <c r="W383" s="198"/>
      <c r="X383" s="198"/>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c r="BV383" s="198"/>
      <c r="BW383" s="198"/>
      <c r="BX383" s="198"/>
      <c r="BY383" s="198"/>
      <c r="BZ383" s="198"/>
      <c r="CA383" s="198"/>
      <c r="CB383" s="198"/>
      <c r="CC383" s="198"/>
      <c r="CD383" s="198"/>
      <c r="CE383" s="198"/>
    </row>
    <row r="384" spans="1:83" s="199" customFormat="1" ht="15.6" thickTop="1" x14ac:dyDescent="0.25">
      <c r="A384" s="680" t="s">
        <v>65</v>
      </c>
      <c r="B384" s="681"/>
      <c r="C384" s="700"/>
      <c r="D384" s="701"/>
      <c r="E384" s="701"/>
      <c r="F384" s="701"/>
      <c r="G384" s="701"/>
      <c r="H384" s="701"/>
      <c r="I384" s="198"/>
      <c r="J384" s="198"/>
      <c r="K384" s="198"/>
      <c r="L384" s="198"/>
      <c r="M384" s="198"/>
      <c r="N384" s="198"/>
      <c r="O384" s="198"/>
      <c r="P384" s="198"/>
      <c r="Q384" s="198"/>
      <c r="R384" s="198"/>
      <c r="S384" s="198"/>
      <c r="T384" s="198"/>
      <c r="U384" s="198"/>
      <c r="V384" s="198"/>
      <c r="W384" s="198"/>
      <c r="X384" s="198"/>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c r="BV384" s="198"/>
      <c r="BW384" s="198"/>
      <c r="BX384" s="198"/>
      <c r="BY384" s="198"/>
      <c r="BZ384" s="198"/>
      <c r="CA384" s="198"/>
      <c r="CB384" s="198"/>
      <c r="CC384" s="198"/>
      <c r="CD384" s="198"/>
      <c r="CE384" s="198"/>
    </row>
    <row r="385" spans="1:85" s="199" customFormat="1" x14ac:dyDescent="0.25">
      <c r="A385" s="702" t="s">
        <v>66</v>
      </c>
      <c r="B385" s="678"/>
      <c r="C385" s="703"/>
      <c r="D385" s="704"/>
      <c r="E385" s="704"/>
      <c r="F385" s="704"/>
      <c r="G385" s="704"/>
      <c r="H385" s="704"/>
      <c r="I385" s="198"/>
      <c r="J385" s="198"/>
      <c r="K385" s="198"/>
      <c r="L385" s="198"/>
      <c r="M385" s="198"/>
      <c r="N385" s="198"/>
      <c r="O385" s="198"/>
      <c r="P385" s="198"/>
      <c r="Q385" s="198"/>
      <c r="R385" s="198"/>
      <c r="S385" s="198"/>
      <c r="T385" s="198"/>
      <c r="U385" s="198"/>
      <c r="V385" s="198"/>
      <c r="W385" s="198"/>
      <c r="X385" s="198"/>
      <c r="Y385" s="198"/>
      <c r="Z385" s="198"/>
      <c r="AA385" s="198"/>
      <c r="AB385" s="198"/>
      <c r="AC385" s="198"/>
      <c r="AD385" s="198"/>
      <c r="AE385" s="198"/>
      <c r="AF385" s="198"/>
      <c r="AG385" s="198"/>
      <c r="AH385" s="198"/>
      <c r="AI385" s="198"/>
      <c r="AJ385" s="198"/>
      <c r="AK385" s="198"/>
      <c r="AL385" s="198"/>
      <c r="AM385" s="198"/>
      <c r="AN385" s="198"/>
      <c r="AO385" s="198"/>
      <c r="AP385" s="198"/>
      <c r="AQ385" s="198"/>
      <c r="AR385" s="198"/>
      <c r="AS385" s="198"/>
      <c r="AT385" s="198"/>
      <c r="AU385" s="198"/>
      <c r="AV385" s="198"/>
      <c r="AW385" s="198"/>
      <c r="AX385" s="198"/>
      <c r="AY385" s="198"/>
      <c r="AZ385" s="198"/>
      <c r="BA385" s="198"/>
      <c r="BB385" s="198"/>
      <c r="BC385" s="198"/>
      <c r="BD385" s="198"/>
      <c r="BE385" s="198"/>
      <c r="BF385" s="198"/>
      <c r="BG385" s="198"/>
      <c r="BH385" s="198"/>
      <c r="BI385" s="198"/>
      <c r="BJ385" s="198"/>
      <c r="BK385" s="198"/>
      <c r="BL385" s="198"/>
      <c r="BM385" s="198"/>
      <c r="BN385" s="198"/>
      <c r="BO385" s="198"/>
      <c r="BP385" s="198"/>
      <c r="BQ385" s="198"/>
      <c r="BR385" s="198"/>
      <c r="BS385" s="198"/>
      <c r="BT385" s="198"/>
      <c r="BU385" s="198"/>
      <c r="BV385" s="198"/>
      <c r="BW385" s="198"/>
      <c r="BX385" s="198"/>
      <c r="BY385" s="198"/>
      <c r="BZ385" s="198"/>
      <c r="CA385" s="198"/>
      <c r="CB385" s="198"/>
      <c r="CC385" s="198"/>
      <c r="CD385" s="198"/>
      <c r="CE385" s="198"/>
    </row>
    <row r="386" spans="1:85" s="199" customFormat="1" x14ac:dyDescent="0.25">
      <c r="A386" s="705" t="s">
        <v>67</v>
      </c>
      <c r="B386" s="706"/>
      <c r="C386" s="195"/>
      <c r="D386" s="196"/>
      <c r="E386" s="196"/>
      <c r="F386" s="196"/>
      <c r="G386" s="196"/>
      <c r="H386" s="196"/>
      <c r="I386" s="198"/>
      <c r="J386" s="198"/>
      <c r="K386" s="198"/>
      <c r="L386" s="198"/>
      <c r="M386" s="198"/>
      <c r="N386" s="198"/>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c r="AM386" s="198"/>
      <c r="AN386" s="198"/>
      <c r="AO386" s="198"/>
      <c r="AP386" s="198"/>
      <c r="AQ386" s="198"/>
      <c r="AR386" s="198"/>
      <c r="AS386" s="198"/>
      <c r="AT386" s="198"/>
      <c r="AU386" s="198"/>
      <c r="AV386" s="198"/>
      <c r="AW386" s="198"/>
      <c r="AX386" s="198"/>
      <c r="AY386" s="198"/>
      <c r="AZ386" s="198"/>
      <c r="BA386" s="198"/>
      <c r="BB386" s="198"/>
      <c r="BC386" s="198"/>
      <c r="BD386" s="198"/>
      <c r="BE386" s="198"/>
      <c r="BF386" s="198"/>
      <c r="BG386" s="198"/>
      <c r="BH386" s="198"/>
      <c r="BI386" s="198"/>
      <c r="BJ386" s="198"/>
      <c r="BK386" s="198"/>
      <c r="BL386" s="198"/>
      <c r="BM386" s="198"/>
      <c r="BN386" s="198"/>
      <c r="BO386" s="198"/>
      <c r="BP386" s="198"/>
      <c r="BQ386" s="198"/>
      <c r="BR386" s="198"/>
      <c r="BS386" s="198"/>
      <c r="BT386" s="198"/>
      <c r="BU386" s="198"/>
      <c r="BV386" s="198"/>
      <c r="BW386" s="198"/>
      <c r="BX386" s="198"/>
      <c r="BY386" s="198"/>
      <c r="BZ386" s="198"/>
      <c r="CA386" s="198"/>
      <c r="CB386" s="198"/>
      <c r="CC386" s="198"/>
      <c r="CD386" s="198"/>
      <c r="CE386" s="198"/>
    </row>
    <row r="387" spans="1:85" s="708" customFormat="1" ht="123.75" customHeight="1" x14ac:dyDescent="0.25">
      <c r="A387" s="1092" t="s">
        <v>187</v>
      </c>
      <c r="B387" s="1093"/>
      <c r="C387" s="212"/>
      <c r="D387" s="213"/>
      <c r="E387" s="707"/>
      <c r="F387" s="707"/>
      <c r="G387" s="707"/>
      <c r="H387" s="707"/>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709"/>
      <c r="AF387" s="709"/>
      <c r="AG387" s="709"/>
      <c r="AH387" s="709"/>
      <c r="AI387" s="709"/>
      <c r="AJ387" s="709"/>
      <c r="AK387" s="709"/>
      <c r="AL387" s="709"/>
      <c r="AM387" s="709"/>
      <c r="AN387" s="709"/>
      <c r="AO387" s="709"/>
      <c r="AP387" s="709"/>
      <c r="AQ387" s="709"/>
      <c r="AR387" s="709"/>
      <c r="AS387" s="709"/>
      <c r="AT387" s="709"/>
      <c r="AU387" s="709"/>
      <c r="AV387" s="709"/>
      <c r="AW387" s="709"/>
      <c r="AX387" s="709"/>
      <c r="AY387" s="709"/>
      <c r="AZ387" s="709"/>
      <c r="BA387" s="709"/>
      <c r="BB387" s="709"/>
      <c r="BC387" s="709"/>
      <c r="BD387" s="709"/>
      <c r="BE387" s="709"/>
      <c r="BF387" s="709"/>
      <c r="BG387" s="709"/>
      <c r="BH387" s="709"/>
      <c r="BI387" s="709"/>
      <c r="BJ387" s="709"/>
      <c r="BK387" s="709"/>
      <c r="BL387" s="709"/>
      <c r="BM387" s="709"/>
      <c r="BN387" s="709"/>
      <c r="BO387" s="709"/>
      <c r="BP387" s="709"/>
      <c r="BQ387" s="709"/>
      <c r="BR387" s="709"/>
      <c r="BS387" s="709"/>
      <c r="BT387" s="709"/>
      <c r="BU387" s="709"/>
      <c r="BV387" s="709"/>
      <c r="BW387" s="709"/>
      <c r="BX387" s="709"/>
      <c r="BY387" s="709"/>
      <c r="BZ387" s="709"/>
      <c r="CA387" s="709"/>
      <c r="CB387" s="709"/>
      <c r="CC387" s="709"/>
      <c r="CD387" s="709"/>
      <c r="CE387" s="709"/>
    </row>
    <row r="388" spans="1:85" s="708" customFormat="1" ht="79.5" customHeight="1" x14ac:dyDescent="0.25">
      <c r="A388" s="1086" t="s">
        <v>188</v>
      </c>
      <c r="B388" s="1087"/>
      <c r="C388" s="245"/>
      <c r="D388" s="246"/>
      <c r="E388" s="246"/>
      <c r="F388" s="246"/>
      <c r="G388" s="710"/>
      <c r="H388" s="710"/>
      <c r="I388" s="709"/>
      <c r="J388" s="709"/>
      <c r="K388" s="709"/>
      <c r="L388" s="709"/>
      <c r="M388" s="709"/>
      <c r="N388" s="709"/>
      <c r="O388" s="709"/>
      <c r="P388" s="709"/>
      <c r="Q388" s="709"/>
      <c r="R388" s="709"/>
      <c r="S388" s="709"/>
      <c r="T388" s="709"/>
      <c r="U388" s="709"/>
      <c r="V388" s="709"/>
      <c r="W388" s="709"/>
      <c r="X388" s="709"/>
      <c r="Y388" s="709"/>
      <c r="Z388" s="709"/>
      <c r="AA388" s="709"/>
      <c r="AB388" s="709"/>
      <c r="AC388" s="709"/>
      <c r="AD388" s="709"/>
      <c r="AE388" s="709"/>
      <c r="AF388" s="709"/>
      <c r="AG388" s="709"/>
      <c r="AH388" s="709"/>
      <c r="AI388" s="709"/>
      <c r="AJ388" s="709"/>
      <c r="AK388" s="709"/>
      <c r="AL388" s="709"/>
      <c r="AM388" s="709"/>
      <c r="AN388" s="709"/>
      <c r="AO388" s="709"/>
      <c r="AP388" s="709"/>
      <c r="AQ388" s="709"/>
      <c r="AR388" s="709"/>
      <c r="AS388" s="709"/>
      <c r="AT388" s="709"/>
      <c r="AU388" s="709"/>
      <c r="AV388" s="709"/>
      <c r="AW388" s="709"/>
      <c r="AX388" s="709"/>
      <c r="AY388" s="709"/>
      <c r="AZ388" s="709"/>
      <c r="BA388" s="709"/>
      <c r="BB388" s="709"/>
      <c r="BC388" s="709"/>
      <c r="BD388" s="709"/>
      <c r="BE388" s="709"/>
      <c r="BF388" s="709"/>
      <c r="BG388" s="709"/>
      <c r="BH388" s="709"/>
      <c r="BI388" s="709"/>
      <c r="BJ388" s="709"/>
      <c r="BK388" s="709"/>
      <c r="BL388" s="709"/>
      <c r="BM388" s="709"/>
      <c r="BN388" s="709"/>
      <c r="BO388" s="709"/>
      <c r="BP388" s="709"/>
      <c r="BQ388" s="709"/>
      <c r="BR388" s="709"/>
      <c r="BS388" s="709"/>
      <c r="BT388" s="709"/>
      <c r="BU388" s="709"/>
      <c r="BV388" s="709"/>
      <c r="BW388" s="709"/>
      <c r="BX388" s="709"/>
      <c r="BY388" s="709"/>
      <c r="BZ388" s="709"/>
      <c r="CA388" s="709"/>
      <c r="CB388" s="709"/>
      <c r="CC388" s="709"/>
      <c r="CD388" s="709"/>
      <c r="CE388" s="709"/>
    </row>
    <row r="389" spans="1:85" s="199" customFormat="1" x14ac:dyDescent="0.25">
      <c r="A389" s="711" t="s">
        <v>3</v>
      </c>
      <c r="B389" s="712"/>
      <c r="C389" s="144"/>
      <c r="D389" s="145"/>
      <c r="E389" s="713"/>
      <c r="F389" s="713"/>
      <c r="G389" s="713"/>
      <c r="H389" s="713"/>
      <c r="I389" s="198"/>
      <c r="J389" s="198"/>
      <c r="K389" s="198"/>
      <c r="L389" s="198"/>
      <c r="M389" s="198"/>
      <c r="N389" s="198"/>
      <c r="O389" s="198"/>
      <c r="P389" s="198"/>
      <c r="Q389" s="198"/>
      <c r="R389" s="198"/>
      <c r="S389" s="198"/>
      <c r="T389" s="198"/>
      <c r="U389" s="198"/>
      <c r="V389" s="198"/>
      <c r="W389" s="198"/>
      <c r="X389" s="198"/>
      <c r="Y389" s="198"/>
      <c r="Z389" s="198"/>
      <c r="AA389" s="198"/>
      <c r="AB389" s="198"/>
      <c r="AC389" s="198"/>
      <c r="AD389" s="198"/>
      <c r="AE389" s="198"/>
      <c r="AF389" s="198"/>
      <c r="AG389" s="198"/>
      <c r="AH389" s="198"/>
      <c r="AI389" s="198"/>
      <c r="AJ389" s="198"/>
      <c r="AK389" s="198"/>
      <c r="AL389" s="198"/>
      <c r="AM389" s="198"/>
      <c r="AN389" s="198"/>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c r="BN389" s="198"/>
      <c r="BO389" s="198"/>
      <c r="BP389" s="198"/>
      <c r="BQ389" s="198"/>
      <c r="BR389" s="198"/>
      <c r="BS389" s="198"/>
      <c r="BT389" s="198"/>
      <c r="BU389" s="198"/>
      <c r="BV389" s="198"/>
      <c r="BW389" s="198"/>
      <c r="BX389" s="198"/>
      <c r="BY389" s="198"/>
      <c r="BZ389" s="198"/>
      <c r="CA389" s="198"/>
      <c r="CB389" s="198"/>
      <c r="CC389" s="198"/>
      <c r="CD389" s="198"/>
      <c r="CE389" s="198"/>
    </row>
    <row r="390" spans="1:85" s="199" customFormat="1" x14ac:dyDescent="0.25">
      <c r="A390" s="459" t="s">
        <v>76</v>
      </c>
      <c r="B390" s="204"/>
      <c r="C390" s="205"/>
      <c r="D390" s="460"/>
      <c r="E390" s="460"/>
      <c r="F390" s="460"/>
      <c r="G390" s="460"/>
      <c r="H390" s="460"/>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c r="BT390" s="198"/>
      <c r="BU390" s="198"/>
      <c r="BV390" s="198"/>
      <c r="BW390" s="198"/>
      <c r="BX390" s="198"/>
      <c r="BY390" s="198"/>
      <c r="BZ390" s="198"/>
      <c r="CA390" s="198"/>
      <c r="CB390" s="198"/>
      <c r="CC390" s="198"/>
      <c r="CD390" s="198"/>
      <c r="CE390" s="198"/>
    </row>
    <row r="391" spans="1:85" s="199" customFormat="1" x14ac:dyDescent="0.25">
      <c r="A391" s="319"/>
      <c r="B391" s="206" t="s">
        <v>8</v>
      </c>
      <c r="C391" s="207"/>
      <c r="D391" s="320"/>
      <c r="E391" s="320"/>
      <c r="F391" s="320"/>
      <c r="G391" s="320"/>
      <c r="H391" s="320"/>
      <c r="I391" s="198"/>
      <c r="J391" s="198"/>
      <c r="K391" s="198"/>
      <c r="L391" s="198"/>
      <c r="M391" s="198"/>
      <c r="N391" s="198"/>
      <c r="O391" s="198"/>
      <c r="P391" s="198"/>
      <c r="Q391" s="198"/>
      <c r="R391" s="198"/>
      <c r="S391" s="198"/>
      <c r="T391" s="198"/>
      <c r="U391" s="198"/>
      <c r="V391" s="198"/>
      <c r="W391" s="198"/>
      <c r="X391" s="198"/>
      <c r="Y391" s="198"/>
      <c r="Z391" s="198"/>
      <c r="AA391" s="198"/>
      <c r="AB391" s="198"/>
      <c r="AC391" s="198"/>
      <c r="AD391" s="198"/>
      <c r="AE391" s="198"/>
      <c r="AF391" s="198"/>
      <c r="AG391" s="198"/>
      <c r="AH391" s="198"/>
      <c r="AI391" s="198"/>
      <c r="AJ391" s="198"/>
      <c r="AK391" s="198"/>
      <c r="AL391" s="198"/>
      <c r="AM391" s="198"/>
      <c r="AN391" s="198"/>
      <c r="AO391" s="198"/>
      <c r="AP391" s="198"/>
      <c r="AQ391" s="198"/>
      <c r="AR391" s="198"/>
      <c r="AS391" s="198"/>
      <c r="AT391" s="198"/>
      <c r="AU391" s="198"/>
      <c r="AV391" s="198"/>
      <c r="AW391" s="198"/>
      <c r="AX391" s="198"/>
      <c r="AY391" s="198"/>
      <c r="AZ391" s="198"/>
      <c r="BA391" s="198"/>
      <c r="BB391" s="198"/>
      <c r="BC391" s="198"/>
      <c r="BD391" s="198"/>
      <c r="BE391" s="198"/>
      <c r="BF391" s="198"/>
      <c r="BG391" s="198"/>
      <c r="BH391" s="198"/>
      <c r="BI391" s="198"/>
      <c r="BJ391" s="198"/>
      <c r="BK391" s="198"/>
      <c r="BL391" s="198"/>
      <c r="BM391" s="198"/>
      <c r="BN391" s="198"/>
      <c r="BO391" s="198"/>
      <c r="BP391" s="198"/>
      <c r="BQ391" s="198"/>
      <c r="BR391" s="198"/>
      <c r="BS391" s="198"/>
      <c r="BT391" s="198"/>
      <c r="BU391" s="198"/>
      <c r="BV391" s="198"/>
      <c r="BW391" s="198"/>
      <c r="BX391" s="198"/>
      <c r="BY391" s="198"/>
      <c r="BZ391" s="198"/>
      <c r="CA391" s="198"/>
      <c r="CB391" s="198"/>
      <c r="CC391" s="198"/>
      <c r="CD391" s="198"/>
      <c r="CE391" s="198"/>
    </row>
    <row r="392" spans="1:85" s="199" customFormat="1" x14ac:dyDescent="0.25">
      <c r="A392" s="322"/>
      <c r="B392" s="323" t="s">
        <v>9</v>
      </c>
      <c r="C392" s="714"/>
      <c r="D392" s="324"/>
      <c r="E392" s="324"/>
      <c r="F392" s="324"/>
      <c r="G392" s="324"/>
      <c r="H392" s="324"/>
      <c r="I392" s="198"/>
      <c r="J392" s="198"/>
      <c r="K392" s="198"/>
      <c r="L392" s="198"/>
      <c r="M392" s="198"/>
      <c r="N392" s="198"/>
      <c r="O392" s="198"/>
      <c r="P392" s="198"/>
      <c r="Q392" s="198"/>
      <c r="R392" s="198"/>
      <c r="S392" s="198"/>
      <c r="T392" s="198"/>
      <c r="U392" s="198"/>
      <c r="V392" s="198"/>
      <c r="W392" s="198"/>
      <c r="X392" s="198"/>
      <c r="Y392" s="198"/>
      <c r="Z392" s="198"/>
      <c r="AA392" s="198"/>
      <c r="AB392" s="198"/>
      <c r="AC392" s="198"/>
      <c r="AD392" s="198"/>
      <c r="AE392" s="198"/>
      <c r="AF392" s="198"/>
      <c r="AG392" s="198"/>
      <c r="AH392" s="198"/>
      <c r="AI392" s="198"/>
      <c r="AJ392" s="198"/>
      <c r="AK392" s="198"/>
      <c r="AL392" s="198"/>
      <c r="AM392" s="198"/>
      <c r="AN392" s="198"/>
      <c r="AO392" s="198"/>
      <c r="AP392" s="198"/>
      <c r="AQ392" s="198"/>
      <c r="AR392" s="198"/>
      <c r="AS392" s="198"/>
      <c r="AT392" s="198"/>
      <c r="AU392" s="198"/>
      <c r="AV392" s="198"/>
      <c r="AW392" s="198"/>
      <c r="AX392" s="198"/>
      <c r="AY392" s="198"/>
      <c r="AZ392" s="198"/>
      <c r="BA392" s="198"/>
      <c r="BB392" s="198"/>
      <c r="BC392" s="198"/>
      <c r="BD392" s="198"/>
      <c r="BE392" s="198"/>
      <c r="BF392" s="198"/>
      <c r="BG392" s="198"/>
      <c r="BH392" s="198"/>
      <c r="BI392" s="198"/>
      <c r="BJ392" s="198"/>
      <c r="BK392" s="198"/>
      <c r="BL392" s="198"/>
      <c r="BM392" s="198"/>
      <c r="BN392" s="198"/>
      <c r="BO392" s="198"/>
      <c r="BP392" s="198"/>
      <c r="BQ392" s="198"/>
      <c r="BR392" s="198"/>
      <c r="BS392" s="198"/>
      <c r="BT392" s="198"/>
      <c r="BU392" s="198"/>
      <c r="BV392" s="198"/>
      <c r="BW392" s="198"/>
      <c r="BX392" s="198"/>
      <c r="BY392" s="198"/>
      <c r="BZ392" s="198"/>
      <c r="CA392" s="198"/>
      <c r="CB392" s="198"/>
      <c r="CC392" s="198"/>
      <c r="CD392" s="198"/>
      <c r="CE392" s="198"/>
    </row>
    <row r="393" spans="1:85" s="199" customFormat="1" x14ac:dyDescent="0.25">
      <c r="A393" s="715" t="s">
        <v>68</v>
      </c>
      <c r="B393" s="716"/>
      <c r="C393" s="276"/>
      <c r="D393" s="277"/>
      <c r="E393" s="717"/>
      <c r="F393" s="717"/>
      <c r="G393" s="717"/>
      <c r="H393" s="718"/>
      <c r="I393" s="198"/>
      <c r="J393" s="198"/>
      <c r="K393" s="198"/>
      <c r="L393" s="198"/>
      <c r="M393" s="198"/>
      <c r="N393" s="198"/>
      <c r="O393" s="198"/>
      <c r="P393" s="198"/>
      <c r="Q393" s="198"/>
      <c r="R393" s="198"/>
      <c r="S393" s="198"/>
      <c r="T393" s="198"/>
      <c r="U393" s="198"/>
      <c r="V393" s="198"/>
      <c r="W393" s="198"/>
      <c r="X393" s="198"/>
      <c r="Y393" s="198"/>
      <c r="Z393" s="198"/>
      <c r="AA393" s="198"/>
      <c r="AB393" s="198"/>
      <c r="AC393" s="198"/>
      <c r="AD393" s="198"/>
      <c r="AE393" s="198"/>
      <c r="AF393" s="198"/>
      <c r="AG393" s="198"/>
      <c r="AH393" s="198"/>
      <c r="AI393" s="198"/>
      <c r="AJ393" s="198"/>
      <c r="AK393" s="198"/>
      <c r="AL393" s="198"/>
      <c r="AM393" s="198"/>
      <c r="AN393" s="198"/>
      <c r="AO393" s="198"/>
      <c r="AP393" s="198"/>
      <c r="AQ393" s="198"/>
      <c r="AR393" s="198"/>
      <c r="AS393" s="198"/>
      <c r="AT393" s="198"/>
      <c r="AU393" s="198"/>
      <c r="AV393" s="198"/>
      <c r="AW393" s="198"/>
      <c r="AX393" s="198"/>
      <c r="AY393" s="198"/>
      <c r="AZ393" s="198"/>
      <c r="BA393" s="198"/>
      <c r="BB393" s="198"/>
      <c r="BC393" s="198"/>
      <c r="BD393" s="198"/>
      <c r="BE393" s="198"/>
      <c r="BF393" s="198"/>
      <c r="BG393" s="198"/>
      <c r="BH393" s="198"/>
      <c r="BI393" s="198"/>
      <c r="BJ393" s="198"/>
      <c r="BK393" s="198"/>
      <c r="BL393" s="198"/>
      <c r="BM393" s="198"/>
      <c r="BN393" s="198"/>
      <c r="BO393" s="198"/>
      <c r="BP393" s="198"/>
      <c r="BQ393" s="198"/>
      <c r="BR393" s="198"/>
      <c r="BS393" s="198"/>
      <c r="BT393" s="198"/>
      <c r="BU393" s="198"/>
      <c r="BV393" s="198"/>
      <c r="BW393" s="198"/>
      <c r="BX393" s="198"/>
      <c r="BY393" s="198"/>
      <c r="BZ393" s="198"/>
      <c r="CA393" s="198"/>
      <c r="CB393" s="198"/>
      <c r="CC393" s="198"/>
      <c r="CD393" s="198"/>
      <c r="CE393" s="198"/>
    </row>
    <row r="394" spans="1:85" s="199" customFormat="1" ht="15.6" x14ac:dyDescent="0.25">
      <c r="A394" s="719"/>
      <c r="B394" s="720"/>
      <c r="C394" s="200"/>
      <c r="D394" s="721"/>
      <c r="E394" s="722"/>
      <c r="F394" s="722"/>
      <c r="G394" s="723"/>
      <c r="H394" s="724"/>
      <c r="I394" s="198"/>
      <c r="J394" s="198"/>
      <c r="K394" s="198"/>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8"/>
      <c r="AN394" s="198"/>
      <c r="AO394" s="198"/>
      <c r="AP394" s="198"/>
      <c r="AQ394" s="198"/>
      <c r="AR394" s="198"/>
      <c r="AS394" s="198"/>
      <c r="AT394" s="198"/>
      <c r="AU394" s="198"/>
      <c r="AV394" s="198"/>
      <c r="AW394" s="198"/>
      <c r="AX394" s="198"/>
      <c r="AY394" s="198"/>
      <c r="AZ394" s="198"/>
      <c r="BA394" s="198"/>
      <c r="BB394" s="198"/>
      <c r="BC394" s="198"/>
      <c r="BD394" s="198"/>
      <c r="BE394" s="198"/>
      <c r="BF394" s="198"/>
      <c r="BG394" s="198"/>
      <c r="BH394" s="198"/>
      <c r="BI394" s="198"/>
      <c r="BJ394" s="198"/>
      <c r="BK394" s="198"/>
      <c r="BL394" s="198"/>
      <c r="BM394" s="198"/>
      <c r="BN394" s="198"/>
      <c r="BO394" s="198"/>
      <c r="BP394" s="198"/>
      <c r="BQ394" s="198"/>
      <c r="BR394" s="198"/>
      <c r="BS394" s="198"/>
      <c r="BT394" s="198"/>
      <c r="BU394" s="198"/>
      <c r="BV394" s="198"/>
      <c r="BW394" s="198"/>
      <c r="BX394" s="198"/>
      <c r="BY394" s="198"/>
      <c r="BZ394" s="198"/>
      <c r="CA394" s="198"/>
      <c r="CB394" s="198"/>
      <c r="CC394" s="198"/>
      <c r="CD394" s="198"/>
      <c r="CE394" s="198"/>
    </row>
    <row r="395" spans="1:85" s="199" customFormat="1" x14ac:dyDescent="0.25">
      <c r="A395" s="227" t="s">
        <v>23</v>
      </c>
      <c r="B395" s="221"/>
      <c r="C395" s="659"/>
      <c r="D395" s="660"/>
      <c r="E395" s="661"/>
      <c r="F395" s="661"/>
      <c r="G395" s="661"/>
      <c r="H395" s="661"/>
      <c r="I395" s="197"/>
      <c r="J395" s="197"/>
      <c r="K395" s="197"/>
      <c r="L395" s="197"/>
      <c r="M395" s="197"/>
      <c r="N395" s="197"/>
      <c r="O395" s="197"/>
      <c r="P395" s="197"/>
      <c r="Q395" s="197"/>
      <c r="R395" s="197"/>
      <c r="S395" s="197"/>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c r="BN395" s="198"/>
      <c r="BO395" s="198"/>
      <c r="BP395" s="198"/>
      <c r="BQ395" s="198"/>
      <c r="BR395" s="198"/>
      <c r="BS395" s="198"/>
      <c r="BT395" s="198"/>
      <c r="BU395" s="198"/>
      <c r="BV395" s="198"/>
      <c r="BW395" s="198"/>
      <c r="BX395" s="198"/>
      <c r="BY395" s="198"/>
      <c r="BZ395" s="198"/>
      <c r="CA395" s="198"/>
      <c r="CB395" s="198"/>
      <c r="CC395" s="198"/>
      <c r="CD395" s="198"/>
      <c r="CE395" s="198"/>
      <c r="CF395" s="198"/>
      <c r="CG395" s="198"/>
    </row>
    <row r="396" spans="1:85" s="199" customFormat="1" x14ac:dyDescent="0.25">
      <c r="A396" s="169"/>
      <c r="B396" s="170"/>
      <c r="C396" s="662"/>
      <c r="D396" s="663"/>
      <c r="E396" s="664"/>
      <c r="F396" s="664"/>
      <c r="G396" s="664"/>
      <c r="H396" s="664"/>
      <c r="I396" s="197"/>
      <c r="J396" s="197"/>
      <c r="K396" s="197"/>
      <c r="L396" s="197"/>
      <c r="M396" s="197"/>
      <c r="N396" s="197"/>
      <c r="O396" s="197"/>
      <c r="P396" s="197"/>
      <c r="Q396" s="197"/>
      <c r="R396" s="197"/>
      <c r="S396" s="197"/>
      <c r="T396" s="198"/>
      <c r="U396" s="198"/>
      <c r="V396" s="198"/>
      <c r="W396" s="198"/>
      <c r="X396" s="198"/>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c r="BN396" s="198"/>
      <c r="BO396" s="198"/>
      <c r="BP396" s="198"/>
      <c r="BQ396" s="198"/>
      <c r="BR396" s="198"/>
      <c r="BS396" s="198"/>
      <c r="BT396" s="198"/>
      <c r="BU396" s="198"/>
      <c r="BV396" s="198"/>
      <c r="BW396" s="198"/>
      <c r="BX396" s="198"/>
      <c r="BY396" s="198"/>
      <c r="BZ396" s="198"/>
      <c r="CA396" s="198"/>
      <c r="CB396" s="198"/>
      <c r="CC396" s="198"/>
      <c r="CD396" s="198"/>
      <c r="CE396" s="198"/>
      <c r="CF396" s="198"/>
      <c r="CG396" s="198"/>
    </row>
    <row r="397" spans="1:85" s="199" customFormat="1" x14ac:dyDescent="0.25">
      <c r="A397" s="169"/>
      <c r="B397" s="170"/>
      <c r="C397" s="662"/>
      <c r="D397" s="663"/>
      <c r="E397" s="664"/>
      <c r="F397" s="664"/>
      <c r="G397" s="664"/>
      <c r="H397" s="664"/>
      <c r="I397" s="197"/>
      <c r="J397" s="197"/>
      <c r="K397" s="197"/>
      <c r="L397" s="197"/>
      <c r="M397" s="197"/>
      <c r="N397" s="197"/>
      <c r="O397" s="197"/>
      <c r="P397" s="197"/>
      <c r="Q397" s="197"/>
      <c r="R397" s="197"/>
      <c r="S397" s="197"/>
      <c r="T397" s="198"/>
      <c r="U397" s="198"/>
      <c r="V397" s="198"/>
      <c r="W397" s="198"/>
      <c r="X397" s="198"/>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c r="BN397" s="198"/>
      <c r="BO397" s="198"/>
      <c r="BP397" s="198"/>
      <c r="BQ397" s="198"/>
      <c r="BR397" s="198"/>
      <c r="BS397" s="198"/>
      <c r="BT397" s="198"/>
      <c r="BU397" s="198"/>
      <c r="BV397" s="198"/>
      <c r="BW397" s="198"/>
      <c r="BX397" s="198"/>
      <c r="BY397" s="198"/>
      <c r="BZ397" s="198"/>
      <c r="CA397" s="198"/>
      <c r="CB397" s="198"/>
      <c r="CC397" s="198"/>
      <c r="CD397" s="198"/>
      <c r="CE397" s="198"/>
      <c r="CF397" s="198"/>
      <c r="CG397" s="198"/>
    </row>
    <row r="398" spans="1:85" s="199" customFormat="1" x14ac:dyDescent="0.25">
      <c r="A398" s="665"/>
      <c r="B398" s="305"/>
      <c r="C398" s="666"/>
      <c r="D398" s="667"/>
      <c r="E398" s="668"/>
      <c r="F398" s="668"/>
      <c r="G398" s="668"/>
      <c r="H398" s="668"/>
      <c r="I398" s="197"/>
      <c r="J398" s="197"/>
      <c r="K398" s="197"/>
      <c r="L398" s="197"/>
      <c r="M398" s="197"/>
      <c r="N398" s="197"/>
      <c r="O398" s="197"/>
      <c r="P398" s="197"/>
      <c r="Q398" s="197"/>
      <c r="R398" s="197"/>
      <c r="S398" s="197"/>
      <c r="T398" s="198"/>
      <c r="U398" s="198"/>
      <c r="V398" s="198"/>
      <c r="W398" s="198"/>
      <c r="X398" s="198"/>
      <c r="Y398" s="198"/>
      <c r="Z398" s="198"/>
      <c r="AA398" s="198"/>
      <c r="AB398" s="198"/>
      <c r="AC398" s="198"/>
      <c r="AD398" s="198"/>
      <c r="AE398" s="198"/>
      <c r="AF398" s="198"/>
      <c r="AG398" s="198"/>
      <c r="AH398" s="198"/>
      <c r="AI398" s="198"/>
      <c r="AJ398" s="198"/>
      <c r="AK398" s="198"/>
      <c r="AL398" s="198"/>
      <c r="AM398" s="198"/>
      <c r="AN398" s="198"/>
      <c r="AO398" s="198"/>
      <c r="AP398" s="198"/>
      <c r="AQ398" s="198"/>
      <c r="AR398" s="198"/>
      <c r="AS398" s="198"/>
      <c r="AT398" s="198"/>
      <c r="AU398" s="198"/>
      <c r="AV398" s="198"/>
      <c r="AW398" s="198"/>
      <c r="AX398" s="198"/>
      <c r="AY398" s="198"/>
      <c r="AZ398" s="198"/>
      <c r="BA398" s="198"/>
      <c r="BB398" s="198"/>
      <c r="BC398" s="198"/>
      <c r="BD398" s="198"/>
      <c r="BE398" s="198"/>
      <c r="BF398" s="198"/>
      <c r="BG398" s="198"/>
      <c r="BH398" s="198"/>
      <c r="BI398" s="198"/>
      <c r="BJ398" s="198"/>
      <c r="BK398" s="198"/>
      <c r="BL398" s="198"/>
      <c r="BM398" s="198"/>
      <c r="BN398" s="198"/>
      <c r="BO398" s="198"/>
      <c r="BP398" s="198"/>
      <c r="BQ398" s="198"/>
      <c r="BR398" s="198"/>
      <c r="BS398" s="198"/>
      <c r="BT398" s="198"/>
      <c r="BU398" s="198"/>
      <c r="BV398" s="198"/>
      <c r="BW398" s="198"/>
      <c r="BX398" s="198"/>
      <c r="BY398" s="198"/>
      <c r="BZ398" s="198"/>
      <c r="CA398" s="198"/>
      <c r="CB398" s="198"/>
      <c r="CC398" s="198"/>
      <c r="CD398" s="198"/>
      <c r="CE398" s="198"/>
      <c r="CF398" s="198"/>
      <c r="CG398" s="198"/>
    </row>
    <row r="399" spans="1:85" s="199" customFormat="1" ht="15.6" x14ac:dyDescent="0.3">
      <c r="A399" s="669"/>
      <c r="B399" s="670" t="s">
        <v>160</v>
      </c>
      <c r="C399" s="309"/>
      <c r="D399" s="309"/>
      <c r="E399" s="309"/>
      <c r="F399" s="309"/>
      <c r="G399" s="309"/>
      <c r="H399" s="309"/>
      <c r="I399" s="198"/>
      <c r="J399" s="198"/>
      <c r="K399" s="198"/>
      <c r="L399" s="198"/>
      <c r="M399" s="198"/>
      <c r="N399" s="198"/>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198"/>
      <c r="AL399" s="198"/>
      <c r="AM399" s="198"/>
      <c r="AN399" s="198"/>
      <c r="AO399" s="198"/>
      <c r="AP399" s="198"/>
      <c r="AQ399" s="198"/>
      <c r="AR399" s="198"/>
      <c r="AS399" s="198"/>
      <c r="AT399" s="198"/>
      <c r="AU399" s="198"/>
      <c r="AV399" s="198"/>
      <c r="AW399" s="198"/>
      <c r="AX399" s="198"/>
      <c r="AY399" s="198"/>
      <c r="AZ399" s="198"/>
      <c r="BA399" s="198"/>
      <c r="BB399" s="198"/>
      <c r="BC399" s="198"/>
      <c r="BD399" s="198"/>
      <c r="BE399" s="198"/>
      <c r="BF399" s="198"/>
      <c r="BG399" s="198"/>
      <c r="BH399" s="198"/>
      <c r="BI399" s="198"/>
      <c r="BJ399" s="198"/>
      <c r="BK399" s="198"/>
      <c r="BL399" s="198"/>
      <c r="BM399" s="198"/>
      <c r="BN399" s="198"/>
      <c r="BO399" s="198"/>
      <c r="BP399" s="198"/>
      <c r="BQ399" s="198"/>
      <c r="BR399" s="198"/>
      <c r="BS399" s="198"/>
      <c r="BT399" s="198"/>
      <c r="BU399" s="198"/>
      <c r="BV399" s="198"/>
      <c r="BW399" s="198"/>
      <c r="BX399" s="198"/>
      <c r="BY399" s="198"/>
      <c r="BZ399" s="198"/>
      <c r="CA399" s="198"/>
      <c r="CB399" s="198"/>
      <c r="CC399" s="198"/>
      <c r="CD399" s="198"/>
      <c r="CE399" s="198"/>
    </row>
    <row r="400" spans="1:85" s="199" customFormat="1" ht="15.6" x14ac:dyDescent="0.3">
      <c r="A400" s="148" t="s">
        <v>13</v>
      </c>
      <c r="B400" s="149"/>
      <c r="C400" s="150" t="s">
        <v>38</v>
      </c>
      <c r="D400" s="240"/>
      <c r="E400" s="240"/>
      <c r="F400" s="240"/>
      <c r="G400" s="240"/>
      <c r="H400" s="240"/>
      <c r="I400" s="197"/>
      <c r="J400" s="197"/>
      <c r="K400" s="197"/>
      <c r="L400" s="197"/>
      <c r="M400" s="197"/>
      <c r="N400" s="197"/>
      <c r="O400" s="197"/>
      <c r="P400" s="197"/>
      <c r="Q400" s="197"/>
      <c r="R400" s="197"/>
      <c r="S400" s="197"/>
      <c r="T400" s="198"/>
      <c r="U400" s="198"/>
      <c r="V400" s="198"/>
      <c r="W400" s="198"/>
      <c r="X400" s="198"/>
      <c r="Y400" s="198"/>
      <c r="Z400" s="198"/>
      <c r="AA400" s="198"/>
      <c r="AB400" s="198"/>
      <c r="AC400" s="198"/>
      <c r="AD400" s="198"/>
      <c r="AE400" s="198"/>
      <c r="AF400" s="198"/>
      <c r="AG400" s="198"/>
      <c r="AH400" s="198"/>
      <c r="AI400" s="198"/>
      <c r="AJ400" s="198"/>
      <c r="AK400" s="198"/>
      <c r="AL400" s="198"/>
      <c r="AM400" s="198"/>
      <c r="AN400" s="198"/>
      <c r="AO400" s="198"/>
      <c r="AP400" s="198"/>
      <c r="AQ400" s="198"/>
      <c r="AR400" s="198"/>
      <c r="AS400" s="198"/>
      <c r="AT400" s="198"/>
      <c r="AU400" s="198"/>
      <c r="AV400" s="198"/>
      <c r="AW400" s="198"/>
      <c r="AX400" s="198"/>
      <c r="AY400" s="198"/>
      <c r="AZ400" s="198"/>
      <c r="BA400" s="198"/>
      <c r="BB400" s="198"/>
      <c r="BC400" s="198"/>
      <c r="BD400" s="198"/>
      <c r="BE400" s="198"/>
      <c r="BF400" s="198"/>
      <c r="BG400" s="198"/>
      <c r="BH400" s="198"/>
      <c r="BI400" s="198"/>
      <c r="BJ400" s="198"/>
      <c r="BK400" s="198"/>
      <c r="BL400" s="198"/>
      <c r="BM400" s="198"/>
      <c r="BN400" s="198"/>
      <c r="BO400" s="198"/>
      <c r="BP400" s="198"/>
      <c r="BQ400" s="198"/>
      <c r="BR400" s="198"/>
      <c r="BS400" s="198"/>
      <c r="BT400" s="198"/>
      <c r="BU400" s="198"/>
      <c r="BV400" s="198"/>
      <c r="BW400" s="198"/>
      <c r="BX400" s="198"/>
      <c r="BY400" s="198"/>
      <c r="BZ400" s="198"/>
      <c r="CA400" s="198"/>
      <c r="CB400" s="198"/>
      <c r="CC400" s="198"/>
      <c r="CD400" s="198"/>
      <c r="CE400" s="198"/>
      <c r="CF400" s="198"/>
      <c r="CG400" s="198"/>
    </row>
    <row r="401" spans="1:85" s="199" customFormat="1" x14ac:dyDescent="0.25">
      <c r="A401" s="876" t="s">
        <v>375</v>
      </c>
      <c r="B401" s="152"/>
      <c r="C401" s="153" t="s">
        <v>524</v>
      </c>
      <c r="D401" s="154"/>
      <c r="E401" s="154"/>
      <c r="F401" s="154"/>
      <c r="G401" s="154"/>
      <c r="H401" s="155"/>
      <c r="I401" s="197"/>
      <c r="J401" s="197"/>
      <c r="K401" s="197"/>
      <c r="L401" s="197"/>
      <c r="M401" s="197"/>
      <c r="N401" s="197"/>
      <c r="O401" s="197"/>
      <c r="P401" s="197"/>
      <c r="Q401" s="197"/>
      <c r="R401" s="197"/>
      <c r="S401" s="197"/>
      <c r="T401" s="198"/>
      <c r="U401" s="198"/>
      <c r="V401" s="198"/>
      <c r="W401" s="198"/>
      <c r="X401" s="198"/>
      <c r="Y401" s="198"/>
      <c r="Z401" s="198"/>
      <c r="AA401" s="198"/>
      <c r="AB401" s="198"/>
      <c r="AC401" s="198"/>
      <c r="AD401" s="198"/>
      <c r="AE401" s="198"/>
      <c r="AF401" s="198"/>
      <c r="AG401" s="198"/>
      <c r="AH401" s="198"/>
      <c r="AI401" s="198"/>
      <c r="AJ401" s="198"/>
      <c r="AK401" s="198"/>
      <c r="AL401" s="198"/>
      <c r="AM401" s="198"/>
      <c r="AN401" s="198"/>
      <c r="AO401" s="198"/>
      <c r="AP401" s="198"/>
      <c r="AQ401" s="198"/>
      <c r="AR401" s="198"/>
      <c r="AS401" s="198"/>
      <c r="AT401" s="198"/>
      <c r="AU401" s="198"/>
      <c r="AV401" s="198"/>
      <c r="AW401" s="198"/>
      <c r="AX401" s="198"/>
      <c r="AY401" s="198"/>
      <c r="AZ401" s="198"/>
      <c r="BA401" s="198"/>
      <c r="BB401" s="198"/>
      <c r="BC401" s="198"/>
      <c r="BD401" s="198"/>
      <c r="BE401" s="198"/>
      <c r="BF401" s="198"/>
      <c r="BG401" s="198"/>
      <c r="BH401" s="198"/>
      <c r="BI401" s="198"/>
      <c r="BJ401" s="198"/>
      <c r="BK401" s="198"/>
      <c r="BL401" s="198"/>
      <c r="BM401" s="198"/>
      <c r="BN401" s="198"/>
      <c r="BO401" s="198"/>
      <c r="BP401" s="198"/>
      <c r="BQ401" s="198"/>
      <c r="BR401" s="198"/>
      <c r="BS401" s="198"/>
      <c r="BT401" s="198"/>
      <c r="BU401" s="198"/>
      <c r="BV401" s="198"/>
      <c r="BW401" s="198"/>
      <c r="BX401" s="198"/>
      <c r="BY401" s="198"/>
      <c r="BZ401" s="198"/>
      <c r="CA401" s="198"/>
      <c r="CB401" s="198"/>
      <c r="CC401" s="198"/>
      <c r="CD401" s="198"/>
      <c r="CE401" s="198"/>
      <c r="CF401" s="198"/>
      <c r="CG401" s="198"/>
    </row>
    <row r="402" spans="1:85" s="199" customFormat="1" x14ac:dyDescent="0.25">
      <c r="A402" s="156" t="s">
        <v>1</v>
      </c>
      <c r="B402" s="157"/>
      <c r="C402" s="158"/>
      <c r="D402" s="159"/>
      <c r="E402" s="159"/>
      <c r="F402" s="159"/>
      <c r="G402" s="159"/>
      <c r="H402" s="160"/>
      <c r="I402" s="197"/>
      <c r="J402" s="197"/>
      <c r="K402" s="197"/>
      <c r="L402" s="197"/>
      <c r="M402" s="197"/>
      <c r="N402" s="197"/>
      <c r="O402" s="197"/>
      <c r="P402" s="197"/>
      <c r="Q402" s="197"/>
      <c r="R402" s="197"/>
      <c r="S402" s="197"/>
      <c r="T402" s="198"/>
      <c r="U402" s="198"/>
      <c r="V402" s="198"/>
      <c r="W402" s="198"/>
      <c r="X402" s="198"/>
      <c r="Y402" s="198"/>
      <c r="Z402" s="198"/>
      <c r="AA402" s="198"/>
      <c r="AB402" s="198"/>
      <c r="AC402" s="198"/>
      <c r="AD402" s="198"/>
      <c r="AE402" s="198"/>
      <c r="AF402" s="198"/>
      <c r="AG402" s="198"/>
      <c r="AH402" s="198"/>
      <c r="AI402" s="198"/>
      <c r="AJ402" s="198"/>
      <c r="AK402" s="198"/>
      <c r="AL402" s="198"/>
      <c r="AM402" s="198"/>
      <c r="AN402" s="198"/>
      <c r="AO402" s="198"/>
      <c r="AP402" s="198"/>
      <c r="AQ402" s="198"/>
      <c r="AR402" s="198"/>
      <c r="AS402" s="198"/>
      <c r="AT402" s="198"/>
      <c r="AU402" s="198"/>
      <c r="AV402" s="198"/>
      <c r="AW402" s="198"/>
      <c r="AX402" s="198"/>
      <c r="AY402" s="198"/>
      <c r="AZ402" s="198"/>
      <c r="BA402" s="198"/>
      <c r="BB402" s="198"/>
      <c r="BC402" s="198"/>
      <c r="BD402" s="198"/>
      <c r="BE402" s="198"/>
      <c r="BF402" s="198"/>
      <c r="BG402" s="198"/>
      <c r="BH402" s="198"/>
      <c r="BI402" s="198"/>
      <c r="BJ402" s="198"/>
      <c r="BK402" s="198"/>
      <c r="BL402" s="198"/>
      <c r="BM402" s="198"/>
      <c r="BN402" s="198"/>
      <c r="BO402" s="198"/>
      <c r="BP402" s="198"/>
      <c r="BQ402" s="198"/>
      <c r="BR402" s="198"/>
      <c r="BS402" s="198"/>
      <c r="BT402" s="198"/>
      <c r="BU402" s="198"/>
      <c r="BV402" s="198"/>
      <c r="BW402" s="198"/>
      <c r="BX402" s="198"/>
      <c r="BY402" s="198"/>
      <c r="BZ402" s="198"/>
      <c r="CA402" s="198"/>
      <c r="CB402" s="198"/>
      <c r="CC402" s="198"/>
      <c r="CD402" s="198"/>
      <c r="CE402" s="198"/>
      <c r="CF402" s="198"/>
      <c r="CG402" s="198"/>
    </row>
    <row r="403" spans="1:85" s="199" customFormat="1" x14ac:dyDescent="0.25">
      <c r="A403" s="156" t="s">
        <v>2</v>
      </c>
      <c r="B403" s="157"/>
      <c r="C403" s="158"/>
      <c r="D403" s="159"/>
      <c r="E403" s="159"/>
      <c r="F403" s="159"/>
      <c r="G403" s="159"/>
      <c r="H403" s="160"/>
      <c r="I403" s="197"/>
      <c r="J403" s="197"/>
      <c r="K403" s="197"/>
      <c r="L403" s="197"/>
      <c r="M403" s="197"/>
      <c r="N403" s="197"/>
      <c r="O403" s="197"/>
      <c r="P403" s="197"/>
      <c r="Q403" s="197"/>
      <c r="R403" s="197"/>
      <c r="S403" s="197"/>
      <c r="T403" s="198"/>
      <c r="U403" s="198"/>
      <c r="V403" s="198"/>
      <c r="W403" s="198"/>
      <c r="X403" s="198"/>
      <c r="Y403" s="198"/>
      <c r="Z403" s="198"/>
      <c r="AA403" s="198"/>
      <c r="AB403" s="198"/>
      <c r="AC403" s="198"/>
      <c r="AD403" s="198"/>
      <c r="AE403" s="198"/>
      <c r="AF403" s="198"/>
      <c r="AG403" s="198"/>
      <c r="AH403" s="198"/>
      <c r="AI403" s="198"/>
      <c r="AJ403" s="198"/>
      <c r="AK403" s="198"/>
      <c r="AL403" s="198"/>
      <c r="AM403" s="198"/>
      <c r="AN403" s="198"/>
      <c r="AO403" s="198"/>
      <c r="AP403" s="198"/>
      <c r="AQ403" s="198"/>
      <c r="AR403" s="198"/>
      <c r="AS403" s="198"/>
      <c r="AT403" s="198"/>
      <c r="AU403" s="198"/>
      <c r="AV403" s="198"/>
      <c r="AW403" s="198"/>
      <c r="AX403" s="198"/>
      <c r="AY403" s="198"/>
      <c r="AZ403" s="198"/>
      <c r="BA403" s="198"/>
      <c r="BB403" s="198"/>
      <c r="BC403" s="198"/>
      <c r="BD403" s="198"/>
      <c r="BE403" s="198"/>
      <c r="BF403" s="198"/>
      <c r="BG403" s="198"/>
      <c r="BH403" s="198"/>
      <c r="BI403" s="198"/>
      <c r="BJ403" s="198"/>
      <c r="BK403" s="198"/>
      <c r="BL403" s="198"/>
      <c r="BM403" s="198"/>
      <c r="BN403" s="198"/>
      <c r="BO403" s="198"/>
      <c r="BP403" s="198"/>
      <c r="BQ403" s="198"/>
      <c r="BR403" s="198"/>
      <c r="BS403" s="198"/>
      <c r="BT403" s="198"/>
      <c r="BU403" s="198"/>
      <c r="BV403" s="198"/>
      <c r="BW403" s="198"/>
      <c r="BX403" s="198"/>
      <c r="BY403" s="198"/>
      <c r="BZ403" s="198"/>
      <c r="CA403" s="198"/>
      <c r="CB403" s="198"/>
      <c r="CC403" s="198"/>
      <c r="CD403" s="198"/>
      <c r="CE403" s="198"/>
      <c r="CF403" s="198"/>
      <c r="CG403" s="198"/>
    </row>
    <row r="404" spans="1:85" s="199" customFormat="1" ht="15.6" x14ac:dyDescent="0.25">
      <c r="A404" s="161"/>
      <c r="B404" s="162"/>
      <c r="C404" s="163"/>
      <c r="D404" s="164"/>
      <c r="E404" s="164"/>
      <c r="F404" s="164"/>
      <c r="G404" s="164"/>
      <c r="H404" s="165"/>
      <c r="I404" s="197"/>
      <c r="J404" s="197"/>
      <c r="K404" s="197"/>
      <c r="L404" s="197"/>
      <c r="M404" s="197"/>
      <c r="N404" s="197"/>
      <c r="O404" s="197"/>
      <c r="P404" s="197"/>
      <c r="Q404" s="197"/>
      <c r="R404" s="197"/>
      <c r="S404" s="197"/>
      <c r="T404" s="198"/>
      <c r="U404" s="198"/>
      <c r="V404" s="198"/>
      <c r="W404" s="198"/>
      <c r="X404" s="198"/>
      <c r="Y404" s="198"/>
      <c r="Z404" s="198"/>
      <c r="AA404" s="198"/>
      <c r="AB404" s="198"/>
      <c r="AC404" s="198"/>
      <c r="AD404" s="198"/>
      <c r="AE404" s="198"/>
      <c r="AF404" s="198"/>
      <c r="AG404" s="198"/>
      <c r="AH404" s="198"/>
      <c r="AI404" s="198"/>
      <c r="AJ404" s="198"/>
      <c r="AK404" s="198"/>
      <c r="AL404" s="198"/>
      <c r="AM404" s="198"/>
      <c r="AN404" s="198"/>
      <c r="AO404" s="198"/>
      <c r="AP404" s="198"/>
      <c r="AQ404" s="198"/>
      <c r="AR404" s="198"/>
      <c r="AS404" s="198"/>
      <c r="AT404" s="198"/>
      <c r="AU404" s="198"/>
      <c r="AV404" s="198"/>
      <c r="AW404" s="198"/>
      <c r="AX404" s="198"/>
      <c r="AY404" s="198"/>
      <c r="AZ404" s="198"/>
      <c r="BA404" s="198"/>
      <c r="BB404" s="198"/>
      <c r="BC404" s="198"/>
      <c r="BD404" s="198"/>
      <c r="BE404" s="198"/>
      <c r="BF404" s="198"/>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198"/>
      <c r="CF404" s="198"/>
      <c r="CG404" s="198"/>
    </row>
    <row r="405" spans="1:85" s="199" customFormat="1" x14ac:dyDescent="0.25">
      <c r="A405" s="178" t="s">
        <v>14</v>
      </c>
      <c r="B405" s="167"/>
      <c r="C405" s="274"/>
      <c r="D405" s="168"/>
      <c r="E405" s="168"/>
      <c r="F405" s="168"/>
      <c r="G405" s="168"/>
      <c r="H405" s="168"/>
      <c r="I405" s="197"/>
      <c r="J405" s="197"/>
      <c r="K405" s="197"/>
      <c r="L405" s="197"/>
      <c r="M405" s="197"/>
      <c r="N405" s="197"/>
      <c r="O405" s="197"/>
      <c r="P405" s="197"/>
      <c r="Q405" s="197"/>
      <c r="R405" s="197"/>
      <c r="S405" s="197"/>
      <c r="T405" s="198"/>
      <c r="U405" s="198"/>
      <c r="V405" s="198"/>
      <c r="W405" s="198"/>
      <c r="X405" s="198"/>
      <c r="Y405" s="198"/>
      <c r="Z405" s="198"/>
      <c r="AA405" s="198"/>
      <c r="AB405" s="198"/>
      <c r="AC405" s="198"/>
      <c r="AD405" s="198"/>
      <c r="AE405" s="198"/>
      <c r="AF405" s="198"/>
      <c r="AG405" s="198"/>
      <c r="AH405" s="198"/>
      <c r="AI405" s="198"/>
      <c r="AJ405" s="198"/>
      <c r="AK405" s="198"/>
      <c r="AL405" s="198"/>
      <c r="AM405" s="198"/>
      <c r="AN405" s="198"/>
      <c r="AO405" s="198"/>
      <c r="AP405" s="198"/>
      <c r="AQ405" s="198"/>
      <c r="AR405" s="198"/>
      <c r="AS405" s="198"/>
      <c r="AT405" s="198"/>
      <c r="AU405" s="198"/>
      <c r="AV405" s="198"/>
      <c r="AW405" s="198"/>
      <c r="AX405" s="198"/>
      <c r="AY405" s="198"/>
      <c r="AZ405" s="198"/>
      <c r="BA405" s="198"/>
      <c r="BB405" s="198"/>
      <c r="BC405" s="198"/>
      <c r="BD405" s="198"/>
      <c r="BE405" s="198"/>
      <c r="BF405" s="198"/>
      <c r="BG405" s="198"/>
      <c r="BH405" s="198"/>
      <c r="BI405" s="198"/>
      <c r="BJ405" s="198"/>
      <c r="BK405" s="198"/>
      <c r="BL405" s="198"/>
      <c r="BM405" s="198"/>
      <c r="BN405" s="198"/>
      <c r="BO405" s="198"/>
      <c r="BP405" s="198"/>
      <c r="BQ405" s="198"/>
      <c r="BR405" s="198"/>
      <c r="BS405" s="198"/>
      <c r="BT405" s="198"/>
      <c r="BU405" s="198"/>
      <c r="BV405" s="198"/>
      <c r="BW405" s="198"/>
      <c r="BX405" s="198"/>
      <c r="BY405" s="198"/>
      <c r="BZ405" s="198"/>
      <c r="CA405" s="198"/>
      <c r="CB405" s="198"/>
      <c r="CC405" s="198"/>
      <c r="CD405" s="198"/>
      <c r="CE405" s="198"/>
      <c r="CF405" s="198"/>
      <c r="CG405" s="198"/>
    </row>
    <row r="406" spans="1:85" s="199" customFormat="1" x14ac:dyDescent="0.25">
      <c r="A406" s="169"/>
      <c r="B406" s="190" t="s">
        <v>78</v>
      </c>
      <c r="C406" s="243"/>
      <c r="D406" s="171"/>
      <c r="E406" s="171"/>
      <c r="F406" s="171"/>
      <c r="G406" s="171"/>
      <c r="H406" s="171"/>
      <c r="I406" s="197"/>
      <c r="J406" s="197"/>
      <c r="K406" s="197"/>
      <c r="L406" s="197"/>
      <c r="M406" s="197"/>
      <c r="N406" s="197"/>
      <c r="O406" s="197"/>
      <c r="P406" s="197"/>
      <c r="Q406" s="197"/>
      <c r="R406" s="197"/>
      <c r="S406" s="197"/>
      <c r="T406" s="198"/>
      <c r="U406" s="198"/>
      <c r="V406" s="198"/>
      <c r="W406" s="198"/>
      <c r="X406" s="198"/>
      <c r="Y406" s="198"/>
      <c r="Z406" s="198"/>
      <c r="AA406" s="198"/>
      <c r="AB406" s="198"/>
      <c r="AC406" s="198"/>
      <c r="AD406" s="198"/>
      <c r="AE406" s="198"/>
      <c r="AF406" s="198"/>
      <c r="AG406" s="198"/>
      <c r="AH406" s="198"/>
      <c r="AI406" s="198"/>
      <c r="AJ406" s="198"/>
      <c r="AK406" s="198"/>
      <c r="AL406" s="198"/>
      <c r="AM406" s="198"/>
      <c r="AN406" s="198"/>
      <c r="AO406" s="198"/>
      <c r="AP406" s="198"/>
      <c r="AQ406" s="198"/>
      <c r="AR406" s="198"/>
      <c r="AS406" s="198"/>
      <c r="AT406" s="198"/>
      <c r="AU406" s="198"/>
      <c r="AV406" s="198"/>
      <c r="AW406" s="198"/>
      <c r="AX406" s="198"/>
      <c r="AY406" s="198"/>
      <c r="AZ406" s="198"/>
      <c r="BA406" s="198"/>
      <c r="BB406" s="198"/>
      <c r="BC406" s="198"/>
      <c r="BD406" s="198"/>
      <c r="BE406" s="198"/>
      <c r="BF406" s="198"/>
      <c r="BG406" s="198"/>
      <c r="BH406" s="198"/>
      <c r="BI406" s="198"/>
      <c r="BJ406" s="198"/>
      <c r="BK406" s="198"/>
      <c r="BL406" s="198"/>
      <c r="BM406" s="198"/>
      <c r="BN406" s="198"/>
      <c r="BO406" s="198"/>
      <c r="BP406" s="198"/>
      <c r="BQ406" s="198"/>
      <c r="BR406" s="198"/>
      <c r="BS406" s="198"/>
      <c r="BT406" s="198"/>
      <c r="BU406" s="198"/>
      <c r="BV406" s="198"/>
      <c r="BW406" s="198"/>
      <c r="BX406" s="198"/>
      <c r="BY406" s="198"/>
      <c r="BZ406" s="198"/>
      <c r="CA406" s="198"/>
      <c r="CB406" s="198"/>
      <c r="CC406" s="198"/>
      <c r="CD406" s="198"/>
      <c r="CE406" s="198"/>
      <c r="CF406" s="198"/>
      <c r="CG406" s="198"/>
    </row>
    <row r="407" spans="1:85" s="199" customFormat="1" x14ac:dyDescent="0.25">
      <c r="A407" s="169"/>
      <c r="B407" s="190" t="s">
        <v>79</v>
      </c>
      <c r="C407" s="243"/>
      <c r="D407" s="171"/>
      <c r="E407" s="171"/>
      <c r="F407" s="171"/>
      <c r="G407" s="171"/>
      <c r="H407" s="171"/>
      <c r="I407" s="197"/>
      <c r="J407" s="197"/>
      <c r="K407" s="197"/>
      <c r="L407" s="197"/>
      <c r="M407" s="197"/>
      <c r="N407" s="197"/>
      <c r="O407" s="197"/>
      <c r="P407" s="197"/>
      <c r="Q407" s="197"/>
      <c r="R407" s="197"/>
      <c r="S407" s="197"/>
      <c r="T407" s="198"/>
      <c r="U407" s="198"/>
      <c r="V407" s="198"/>
      <c r="W407" s="198"/>
      <c r="X407" s="198"/>
      <c r="Y407" s="198"/>
      <c r="Z407" s="198"/>
      <c r="AA407" s="198"/>
      <c r="AB407" s="198"/>
      <c r="AC407" s="198"/>
      <c r="AD407" s="198"/>
      <c r="AE407" s="198"/>
      <c r="AF407" s="198"/>
      <c r="AG407" s="198"/>
      <c r="AH407" s="198"/>
      <c r="AI407" s="198"/>
      <c r="AJ407" s="198"/>
      <c r="AK407" s="198"/>
      <c r="AL407" s="198"/>
      <c r="AM407" s="198"/>
      <c r="AN407" s="198"/>
      <c r="AO407" s="198"/>
      <c r="AP407" s="198"/>
      <c r="AQ407" s="198"/>
      <c r="AR407" s="198"/>
      <c r="AS407" s="198"/>
      <c r="AT407" s="198"/>
      <c r="AU407" s="198"/>
      <c r="AV407" s="198"/>
      <c r="AW407" s="198"/>
      <c r="AX407" s="198"/>
      <c r="AY407" s="198"/>
      <c r="AZ407" s="198"/>
      <c r="BA407" s="198"/>
      <c r="BB407" s="198"/>
      <c r="BC407" s="198"/>
      <c r="BD407" s="198"/>
      <c r="BE407" s="198"/>
      <c r="BF407" s="198"/>
      <c r="BG407" s="198"/>
      <c r="BH407" s="198"/>
      <c r="BI407" s="198"/>
      <c r="BJ407" s="198"/>
      <c r="BK407" s="198"/>
      <c r="BL407" s="198"/>
      <c r="BM407" s="198"/>
      <c r="BN407" s="198"/>
      <c r="BO407" s="198"/>
      <c r="BP407" s="198"/>
      <c r="BQ407" s="198"/>
      <c r="BR407" s="198"/>
      <c r="BS407" s="198"/>
      <c r="BT407" s="198"/>
      <c r="BU407" s="198"/>
      <c r="BV407" s="198"/>
      <c r="BW407" s="198"/>
      <c r="BX407" s="198"/>
      <c r="BY407" s="198"/>
      <c r="BZ407" s="198"/>
      <c r="CA407" s="198"/>
      <c r="CB407" s="198"/>
      <c r="CC407" s="198"/>
      <c r="CD407" s="198"/>
      <c r="CE407" s="198"/>
      <c r="CF407" s="198"/>
      <c r="CG407" s="198"/>
    </row>
    <row r="408" spans="1:85" s="199" customFormat="1" x14ac:dyDescent="0.25">
      <c r="A408" s="169"/>
      <c r="B408" s="190" t="s">
        <v>82</v>
      </c>
      <c r="C408" s="243"/>
      <c r="D408" s="171"/>
      <c r="E408" s="171"/>
      <c r="F408" s="171"/>
      <c r="G408" s="171"/>
      <c r="H408" s="171"/>
      <c r="I408" s="197"/>
      <c r="J408" s="197"/>
      <c r="K408" s="197"/>
      <c r="L408" s="197"/>
      <c r="M408" s="197"/>
      <c r="N408" s="197"/>
      <c r="O408" s="197"/>
      <c r="P408" s="197"/>
      <c r="Q408" s="197"/>
      <c r="R408" s="197"/>
      <c r="S408" s="197"/>
      <c r="T408" s="198"/>
      <c r="U408" s="198"/>
      <c r="V408" s="198"/>
      <c r="W408" s="198"/>
      <c r="X408" s="198"/>
      <c r="Y408" s="198"/>
      <c r="Z408" s="198"/>
      <c r="AA408" s="198"/>
      <c r="AB408" s="198"/>
      <c r="AC408" s="198"/>
      <c r="AD408" s="198"/>
      <c r="AE408" s="198"/>
      <c r="AF408" s="198"/>
      <c r="AG408" s="198"/>
      <c r="AH408" s="198"/>
      <c r="AI408" s="198"/>
      <c r="AJ408" s="198"/>
      <c r="AK408" s="198"/>
      <c r="AL408" s="198"/>
      <c r="AM408" s="198"/>
      <c r="AN408" s="198"/>
      <c r="AO408" s="198"/>
      <c r="AP408" s="198"/>
      <c r="AQ408" s="198"/>
      <c r="AR408" s="198"/>
      <c r="AS408" s="198"/>
      <c r="AT408" s="198"/>
      <c r="AU408" s="198"/>
      <c r="AV408" s="198"/>
      <c r="AW408" s="198"/>
      <c r="AX408" s="198"/>
      <c r="AY408" s="198"/>
      <c r="AZ408" s="198"/>
      <c r="BA408" s="198"/>
      <c r="BB408" s="198"/>
      <c r="BC408" s="198"/>
      <c r="BD408" s="198"/>
      <c r="BE408" s="198"/>
      <c r="BF408" s="198"/>
      <c r="BG408" s="198"/>
      <c r="BH408" s="198"/>
      <c r="BI408" s="198"/>
      <c r="BJ408" s="198"/>
      <c r="BK408" s="198"/>
      <c r="BL408" s="198"/>
      <c r="BM408" s="198"/>
      <c r="BN408" s="198"/>
      <c r="BO408" s="198"/>
      <c r="BP408" s="198"/>
      <c r="BQ408" s="198"/>
      <c r="BR408" s="198"/>
      <c r="BS408" s="198"/>
      <c r="BT408" s="198"/>
      <c r="BU408" s="198"/>
      <c r="BV408" s="198"/>
      <c r="BW408" s="198"/>
      <c r="BX408" s="198"/>
      <c r="BY408" s="198"/>
      <c r="BZ408" s="198"/>
      <c r="CA408" s="198"/>
      <c r="CB408" s="198"/>
      <c r="CC408" s="198"/>
      <c r="CD408" s="198"/>
      <c r="CE408" s="198"/>
      <c r="CF408" s="198"/>
      <c r="CG408" s="198"/>
    </row>
    <row r="409" spans="1:85" s="199" customFormat="1" x14ac:dyDescent="0.25">
      <c r="A409" s="172"/>
      <c r="B409" s="725"/>
      <c r="C409" s="244"/>
      <c r="D409" s="174"/>
      <c r="E409" s="174"/>
      <c r="F409" s="174"/>
      <c r="G409" s="174"/>
      <c r="H409" s="174"/>
      <c r="I409" s="197"/>
      <c r="J409" s="197"/>
      <c r="K409" s="197"/>
      <c r="L409" s="197"/>
      <c r="M409" s="197"/>
      <c r="N409" s="197"/>
      <c r="O409" s="197"/>
      <c r="P409" s="197"/>
      <c r="Q409" s="197"/>
      <c r="R409" s="197"/>
      <c r="S409" s="197"/>
      <c r="T409" s="198"/>
      <c r="U409" s="198"/>
      <c r="V409" s="198"/>
      <c r="W409" s="198"/>
      <c r="X409" s="198"/>
      <c r="Y409" s="198"/>
      <c r="Z409" s="198"/>
      <c r="AA409" s="198"/>
      <c r="AB409" s="198"/>
      <c r="AC409" s="198"/>
      <c r="AD409" s="198"/>
      <c r="AE409" s="198"/>
      <c r="AF409" s="198"/>
      <c r="AG409" s="198"/>
      <c r="AH409" s="198"/>
      <c r="AI409" s="198"/>
      <c r="AJ409" s="198"/>
      <c r="AK409" s="198"/>
      <c r="AL409" s="198"/>
      <c r="AM409" s="198"/>
      <c r="AN409" s="198"/>
      <c r="AO409" s="198"/>
      <c r="AP409" s="198"/>
      <c r="AQ409" s="198"/>
      <c r="AR409" s="198"/>
      <c r="AS409" s="198"/>
      <c r="AT409" s="198"/>
      <c r="AU409" s="198"/>
      <c r="AV409" s="198"/>
      <c r="AW409" s="198"/>
      <c r="AX409" s="198"/>
      <c r="AY409" s="198"/>
      <c r="AZ409" s="198"/>
      <c r="BA409" s="198"/>
      <c r="BB409" s="198"/>
      <c r="BC409" s="198"/>
      <c r="BD409" s="198"/>
      <c r="BE409" s="198"/>
      <c r="BF409" s="198"/>
      <c r="BG409" s="198"/>
      <c r="BH409" s="198"/>
      <c r="BI409" s="198"/>
      <c r="BJ409" s="198"/>
      <c r="BK409" s="198"/>
      <c r="BL409" s="198"/>
      <c r="BM409" s="198"/>
      <c r="BN409" s="198"/>
      <c r="BO409" s="198"/>
      <c r="BP409" s="198"/>
      <c r="BQ409" s="198"/>
      <c r="BR409" s="198"/>
      <c r="BS409" s="198"/>
      <c r="BT409" s="198"/>
      <c r="BU409" s="198"/>
      <c r="BV409" s="198"/>
      <c r="BW409" s="198"/>
      <c r="BX409" s="198"/>
      <c r="BY409" s="198"/>
      <c r="BZ409" s="198"/>
      <c r="CA409" s="198"/>
      <c r="CB409" s="198"/>
      <c r="CC409" s="198"/>
      <c r="CD409" s="198"/>
      <c r="CE409" s="198"/>
      <c r="CF409" s="198"/>
      <c r="CG409" s="198"/>
    </row>
    <row r="410" spans="1:85" s="199" customFormat="1" ht="15.6" x14ac:dyDescent="0.3">
      <c r="A410" s="726" t="s">
        <v>5</v>
      </c>
      <c r="B410" s="167"/>
      <c r="C410" s="274"/>
      <c r="D410" s="727"/>
      <c r="E410" s="168"/>
      <c r="F410" s="168"/>
      <c r="G410" s="168"/>
      <c r="H410" s="175"/>
      <c r="I410" s="197"/>
      <c r="J410" s="197"/>
      <c r="K410" s="197"/>
      <c r="L410" s="197"/>
      <c r="M410" s="197"/>
      <c r="N410" s="197"/>
      <c r="O410" s="197"/>
      <c r="P410" s="197"/>
      <c r="Q410" s="197"/>
      <c r="R410" s="197"/>
      <c r="S410" s="197"/>
      <c r="T410" s="198"/>
      <c r="U410" s="198"/>
      <c r="V410" s="198"/>
      <c r="W410" s="198"/>
      <c r="X410" s="198"/>
      <c r="Y410" s="198"/>
      <c r="Z410" s="198"/>
      <c r="AA410" s="198"/>
      <c r="AB410" s="198"/>
      <c r="AC410" s="198"/>
      <c r="AD410" s="198"/>
      <c r="AE410" s="198"/>
      <c r="AF410" s="198"/>
      <c r="AG410" s="198"/>
      <c r="AH410" s="198"/>
      <c r="AI410" s="198"/>
      <c r="AJ410" s="198"/>
      <c r="AK410" s="198"/>
      <c r="AL410" s="198"/>
      <c r="AM410" s="198"/>
      <c r="AN410" s="198"/>
      <c r="AO410" s="198"/>
      <c r="AP410" s="198"/>
      <c r="AQ410" s="198"/>
      <c r="AR410" s="198"/>
      <c r="AS410" s="198"/>
      <c r="AT410" s="198"/>
      <c r="AU410" s="198"/>
      <c r="AV410" s="198"/>
      <c r="AW410" s="198"/>
      <c r="AX410" s="198"/>
      <c r="AY410" s="198"/>
      <c r="AZ410" s="198"/>
      <c r="BA410" s="198"/>
      <c r="BB410" s="198"/>
      <c r="BC410" s="198"/>
      <c r="BD410" s="198"/>
      <c r="BE410" s="198"/>
      <c r="BF410" s="198"/>
      <c r="BG410" s="198"/>
      <c r="BH410" s="198"/>
      <c r="BI410" s="198"/>
      <c r="BJ410" s="198"/>
      <c r="BK410" s="198"/>
      <c r="BL410" s="198"/>
      <c r="BM410" s="198"/>
      <c r="BN410" s="198"/>
      <c r="BO410" s="198"/>
      <c r="BP410" s="198"/>
      <c r="BQ410" s="198"/>
      <c r="BR410" s="198"/>
      <c r="BS410" s="198"/>
      <c r="BT410" s="198"/>
      <c r="BU410" s="198"/>
      <c r="BV410" s="198"/>
      <c r="BW410" s="198"/>
      <c r="BX410" s="198"/>
      <c r="BY410" s="198"/>
      <c r="BZ410" s="198"/>
      <c r="CA410" s="198"/>
      <c r="CB410" s="198"/>
      <c r="CC410" s="198"/>
      <c r="CD410" s="198"/>
      <c r="CE410" s="198"/>
      <c r="CF410" s="198"/>
      <c r="CG410" s="198"/>
    </row>
    <row r="411" spans="1:85" s="199" customFormat="1" x14ac:dyDescent="0.25">
      <c r="A411" s="176"/>
      <c r="B411" s="190" t="s">
        <v>15</v>
      </c>
      <c r="C411" s="68">
        <v>100000</v>
      </c>
      <c r="D411" s="219"/>
      <c r="E411" s="219"/>
      <c r="F411" s="219"/>
      <c r="G411" s="219"/>
      <c r="H411" s="728"/>
      <c r="I411" s="197"/>
      <c r="J411" s="197"/>
      <c r="K411" s="197"/>
      <c r="L411" s="197"/>
      <c r="M411" s="197"/>
      <c r="N411" s="197"/>
      <c r="O411" s="197"/>
      <c r="P411" s="197"/>
      <c r="Q411" s="197"/>
      <c r="R411" s="197"/>
      <c r="S411" s="197"/>
      <c r="T411" s="198"/>
      <c r="U411" s="198"/>
      <c r="V411" s="198"/>
      <c r="W411" s="198"/>
      <c r="X411" s="198"/>
      <c r="Y411" s="198"/>
      <c r="Z411" s="198"/>
      <c r="AA411" s="198"/>
      <c r="AB411" s="198"/>
      <c r="AC411" s="198"/>
      <c r="AD411" s="198"/>
      <c r="AE411" s="198"/>
      <c r="AF411" s="198"/>
      <c r="AG411" s="198"/>
      <c r="AH411" s="198"/>
      <c r="AI411" s="198"/>
      <c r="AJ411" s="198"/>
      <c r="AK411" s="198"/>
      <c r="AL411" s="198"/>
      <c r="AM411" s="198"/>
      <c r="AN411" s="198"/>
      <c r="AO411" s="198"/>
      <c r="AP411" s="198"/>
      <c r="AQ411" s="198"/>
      <c r="AR411" s="198"/>
      <c r="AS411" s="198"/>
      <c r="AT411" s="198"/>
      <c r="AU411" s="198"/>
      <c r="AV411" s="198"/>
      <c r="AW411" s="198"/>
      <c r="AX411" s="198"/>
      <c r="AY411" s="198"/>
      <c r="AZ411" s="198"/>
      <c r="BA411" s="198"/>
      <c r="BB411" s="198"/>
      <c r="BC411" s="198"/>
      <c r="BD411" s="198"/>
      <c r="BE411" s="198"/>
      <c r="BF411" s="198"/>
      <c r="BG411" s="198"/>
      <c r="BH411" s="198"/>
      <c r="BI411" s="198"/>
      <c r="BJ411" s="198"/>
      <c r="BK411" s="198"/>
      <c r="BL411" s="198"/>
      <c r="BM411" s="198"/>
      <c r="BN411" s="198"/>
      <c r="BO411" s="198"/>
      <c r="BP411" s="198"/>
      <c r="BQ411" s="198"/>
      <c r="BR411" s="198"/>
      <c r="BS411" s="198"/>
      <c r="BT411" s="198"/>
      <c r="BU411" s="198"/>
      <c r="BV411" s="198"/>
      <c r="BW411" s="198"/>
      <c r="BX411" s="198"/>
      <c r="BY411" s="198"/>
      <c r="BZ411" s="198"/>
      <c r="CA411" s="198"/>
      <c r="CB411" s="198"/>
      <c r="CC411" s="198"/>
      <c r="CD411" s="198"/>
      <c r="CE411" s="198"/>
      <c r="CF411" s="198"/>
      <c r="CG411" s="198"/>
    </row>
    <row r="412" spans="1:85" s="199" customFormat="1" x14ac:dyDescent="0.25">
      <c r="A412" s="176"/>
      <c r="B412" s="190" t="s">
        <v>16</v>
      </c>
      <c r="C412" s="68" t="s">
        <v>525</v>
      </c>
      <c r="D412" s="219"/>
      <c r="E412" s="219"/>
      <c r="F412" s="219"/>
      <c r="G412" s="219"/>
      <c r="H412" s="728"/>
      <c r="I412" s="197"/>
      <c r="J412" s="197"/>
      <c r="K412" s="197"/>
      <c r="L412" s="197"/>
      <c r="M412" s="197"/>
      <c r="N412" s="197"/>
      <c r="O412" s="197"/>
      <c r="P412" s="197"/>
      <c r="Q412" s="197"/>
      <c r="R412" s="197"/>
      <c r="S412" s="197"/>
      <c r="T412" s="198"/>
      <c r="U412" s="198"/>
      <c r="V412" s="198"/>
      <c r="W412" s="198"/>
      <c r="X412" s="198"/>
      <c r="Y412" s="198"/>
      <c r="Z412" s="198"/>
      <c r="AA412" s="198"/>
      <c r="AB412" s="198"/>
      <c r="AC412" s="198"/>
      <c r="AD412" s="198"/>
      <c r="AE412" s="198"/>
      <c r="AF412" s="198"/>
      <c r="AG412" s="198"/>
      <c r="AH412" s="198"/>
      <c r="AI412" s="198"/>
      <c r="AJ412" s="198"/>
      <c r="AK412" s="198"/>
      <c r="AL412" s="198"/>
      <c r="AM412" s="198"/>
      <c r="AN412" s="198"/>
      <c r="AO412" s="198"/>
      <c r="AP412" s="198"/>
      <c r="AQ412" s="198"/>
      <c r="AR412" s="198"/>
      <c r="AS412" s="198"/>
      <c r="AT412" s="198"/>
      <c r="AU412" s="198"/>
      <c r="AV412" s="198"/>
      <c r="AW412" s="198"/>
      <c r="AX412" s="198"/>
      <c r="AY412" s="198"/>
      <c r="AZ412" s="198"/>
      <c r="BA412" s="198"/>
      <c r="BB412" s="198"/>
      <c r="BC412" s="198"/>
      <c r="BD412" s="198"/>
      <c r="BE412" s="198"/>
      <c r="BF412" s="198"/>
      <c r="BG412" s="198"/>
      <c r="BH412" s="198"/>
      <c r="BI412" s="198"/>
      <c r="BJ412" s="198"/>
      <c r="BK412" s="198"/>
      <c r="BL412" s="198"/>
      <c r="BM412" s="198"/>
      <c r="BN412" s="198"/>
      <c r="BO412" s="198"/>
      <c r="BP412" s="198"/>
      <c r="BQ412" s="198"/>
      <c r="BR412" s="198"/>
      <c r="BS412" s="198"/>
      <c r="BT412" s="198"/>
      <c r="BU412" s="198"/>
      <c r="BV412" s="198"/>
      <c r="BW412" s="198"/>
      <c r="BX412" s="198"/>
      <c r="BY412" s="198"/>
      <c r="BZ412" s="198"/>
      <c r="CA412" s="198"/>
      <c r="CB412" s="198"/>
      <c r="CC412" s="198"/>
      <c r="CD412" s="198"/>
      <c r="CE412" s="198"/>
      <c r="CF412" s="198"/>
      <c r="CG412" s="198"/>
    </row>
    <row r="413" spans="1:85" s="199" customFormat="1" x14ac:dyDescent="0.25">
      <c r="A413" s="176"/>
      <c r="B413" s="190" t="s">
        <v>17</v>
      </c>
      <c r="C413" s="68" t="s">
        <v>525</v>
      </c>
      <c r="D413" s="219"/>
      <c r="E413" s="219"/>
      <c r="F413" s="219"/>
      <c r="G413" s="219"/>
      <c r="H413" s="728"/>
      <c r="I413" s="197"/>
      <c r="J413" s="197"/>
      <c r="K413" s="197"/>
      <c r="L413" s="197"/>
      <c r="M413" s="197"/>
      <c r="N413" s="197"/>
      <c r="O413" s="197"/>
      <c r="P413" s="197"/>
      <c r="Q413" s="197"/>
      <c r="R413" s="197"/>
      <c r="S413" s="197"/>
      <c r="T413" s="198"/>
      <c r="U413" s="198"/>
      <c r="V413" s="198"/>
      <c r="W413" s="198"/>
      <c r="X413" s="198"/>
      <c r="Y413" s="198"/>
      <c r="Z413" s="198"/>
      <c r="AA413" s="198"/>
      <c r="AB413" s="198"/>
      <c r="AC413" s="198"/>
      <c r="AD413" s="198"/>
      <c r="AE413" s="198"/>
      <c r="AF413" s="198"/>
      <c r="AG413" s="198"/>
      <c r="AH413" s="198"/>
      <c r="AI413" s="198"/>
      <c r="AJ413" s="198"/>
      <c r="AK413" s="198"/>
      <c r="AL413" s="198"/>
      <c r="AM413" s="198"/>
      <c r="AN413" s="198"/>
      <c r="AO413" s="198"/>
      <c r="AP413" s="198"/>
      <c r="AQ413" s="198"/>
      <c r="AR413" s="198"/>
      <c r="AS413" s="198"/>
      <c r="AT413" s="198"/>
      <c r="AU413" s="198"/>
      <c r="AV413" s="198"/>
      <c r="AW413" s="198"/>
      <c r="AX413" s="198"/>
      <c r="AY413" s="198"/>
      <c r="AZ413" s="198"/>
      <c r="BA413" s="198"/>
      <c r="BB413" s="198"/>
      <c r="BC413" s="198"/>
      <c r="BD413" s="198"/>
      <c r="BE413" s="198"/>
      <c r="BF413" s="198"/>
      <c r="BG413" s="198"/>
      <c r="BH413" s="198"/>
      <c r="BI413" s="198"/>
      <c r="BJ413" s="198"/>
      <c r="BK413" s="198"/>
      <c r="BL413" s="198"/>
      <c r="BM413" s="198"/>
      <c r="BN413" s="198"/>
      <c r="BO413" s="198"/>
      <c r="BP413" s="198"/>
      <c r="BQ413" s="198"/>
      <c r="BR413" s="198"/>
      <c r="BS413" s="198"/>
      <c r="BT413" s="198"/>
      <c r="BU413" s="198"/>
      <c r="BV413" s="198"/>
      <c r="BW413" s="198"/>
      <c r="BX413" s="198"/>
      <c r="BY413" s="198"/>
      <c r="BZ413" s="198"/>
      <c r="CA413" s="198"/>
      <c r="CB413" s="198"/>
      <c r="CC413" s="198"/>
      <c r="CD413" s="198"/>
      <c r="CE413" s="198"/>
      <c r="CF413" s="198"/>
      <c r="CG413" s="198"/>
    </row>
    <row r="414" spans="1:85" s="199" customFormat="1" x14ac:dyDescent="0.25">
      <c r="A414" s="176"/>
      <c r="B414" s="190" t="s">
        <v>18</v>
      </c>
      <c r="C414" s="68" t="s">
        <v>525</v>
      </c>
      <c r="D414" s="219"/>
      <c r="E414" s="219"/>
      <c r="F414" s="219"/>
      <c r="G414" s="219"/>
      <c r="H414" s="728"/>
      <c r="I414" s="197"/>
      <c r="J414" s="197"/>
      <c r="K414" s="197"/>
      <c r="L414" s="197"/>
      <c r="M414" s="197"/>
      <c r="N414" s="197"/>
      <c r="O414" s="197"/>
      <c r="P414" s="197"/>
      <c r="Q414" s="197"/>
      <c r="R414" s="197"/>
      <c r="S414" s="197"/>
      <c r="T414" s="198"/>
      <c r="U414" s="198"/>
      <c r="V414" s="198"/>
      <c r="W414" s="198"/>
      <c r="X414" s="198"/>
      <c r="Y414" s="198"/>
      <c r="Z414" s="198"/>
      <c r="AA414" s="198"/>
      <c r="AB414" s="198"/>
      <c r="AC414" s="198"/>
      <c r="AD414" s="198"/>
      <c r="AE414" s="198"/>
      <c r="AF414" s="198"/>
      <c r="AG414" s="198"/>
      <c r="AH414" s="198"/>
      <c r="AI414" s="198"/>
      <c r="AJ414" s="198"/>
      <c r="AK414" s="198"/>
      <c r="AL414" s="198"/>
      <c r="AM414" s="198"/>
      <c r="AN414" s="198"/>
      <c r="AO414" s="198"/>
      <c r="AP414" s="198"/>
      <c r="AQ414" s="198"/>
      <c r="AR414" s="198"/>
      <c r="AS414" s="198"/>
      <c r="AT414" s="198"/>
      <c r="AU414" s="198"/>
      <c r="AV414" s="198"/>
      <c r="AW414" s="198"/>
      <c r="AX414" s="198"/>
      <c r="AY414" s="198"/>
      <c r="AZ414" s="198"/>
      <c r="BA414" s="198"/>
      <c r="BB414" s="198"/>
      <c r="BC414" s="198"/>
      <c r="BD414" s="198"/>
      <c r="BE414" s="198"/>
      <c r="BF414" s="198"/>
      <c r="BG414" s="198"/>
      <c r="BH414" s="198"/>
      <c r="BI414" s="198"/>
      <c r="BJ414" s="198"/>
      <c r="BK414" s="198"/>
      <c r="BL414" s="198"/>
      <c r="BM414" s="198"/>
      <c r="BN414" s="198"/>
      <c r="BO414" s="198"/>
      <c r="BP414" s="198"/>
      <c r="BQ414" s="198"/>
      <c r="BR414" s="198"/>
      <c r="BS414" s="198"/>
      <c r="BT414" s="198"/>
      <c r="BU414" s="198"/>
      <c r="BV414" s="198"/>
      <c r="BW414" s="198"/>
      <c r="BX414" s="198"/>
      <c r="BY414" s="198"/>
      <c r="BZ414" s="198"/>
      <c r="CA414" s="198"/>
      <c r="CB414" s="198"/>
      <c r="CC414" s="198"/>
      <c r="CD414" s="198"/>
      <c r="CE414" s="198"/>
      <c r="CF414" s="198"/>
      <c r="CG414" s="198"/>
    </row>
    <row r="415" spans="1:85" s="199" customFormat="1" x14ac:dyDescent="0.25">
      <c r="A415" s="176"/>
      <c r="B415" s="190" t="s">
        <v>19</v>
      </c>
      <c r="C415" s="68" t="s">
        <v>525</v>
      </c>
      <c r="D415" s="219"/>
      <c r="E415" s="219"/>
      <c r="F415" s="219"/>
      <c r="G415" s="219"/>
      <c r="H415" s="728"/>
      <c r="I415" s="197"/>
      <c r="J415" s="197"/>
      <c r="K415" s="197"/>
      <c r="L415" s="197"/>
      <c r="M415" s="197"/>
      <c r="N415" s="197"/>
      <c r="O415" s="197"/>
      <c r="P415" s="197"/>
      <c r="Q415" s="197"/>
      <c r="R415" s="197"/>
      <c r="S415" s="197"/>
      <c r="T415" s="198"/>
      <c r="U415" s="198"/>
      <c r="V415" s="198"/>
      <c r="W415" s="198"/>
      <c r="X415" s="198"/>
      <c r="Y415" s="198"/>
      <c r="Z415" s="198"/>
      <c r="AA415" s="198"/>
      <c r="AB415" s="198"/>
      <c r="AC415" s="198"/>
      <c r="AD415" s="198"/>
      <c r="AE415" s="198"/>
      <c r="AF415" s="198"/>
      <c r="AG415" s="198"/>
      <c r="AH415" s="198"/>
      <c r="AI415" s="198"/>
      <c r="AJ415" s="198"/>
      <c r="AK415" s="198"/>
      <c r="AL415" s="198"/>
      <c r="AM415" s="198"/>
      <c r="AN415" s="198"/>
      <c r="AO415" s="198"/>
      <c r="AP415" s="198"/>
      <c r="AQ415" s="198"/>
      <c r="AR415" s="198"/>
      <c r="AS415" s="198"/>
      <c r="AT415" s="198"/>
      <c r="AU415" s="198"/>
      <c r="AV415" s="198"/>
      <c r="AW415" s="198"/>
      <c r="AX415" s="198"/>
      <c r="AY415" s="198"/>
      <c r="AZ415" s="198"/>
      <c r="BA415" s="198"/>
      <c r="BB415" s="198"/>
      <c r="BC415" s="198"/>
      <c r="BD415" s="198"/>
      <c r="BE415" s="198"/>
      <c r="BF415" s="198"/>
      <c r="BG415" s="198"/>
      <c r="BH415" s="198"/>
      <c r="BI415" s="198"/>
      <c r="BJ415" s="198"/>
      <c r="BK415" s="198"/>
      <c r="BL415" s="198"/>
      <c r="BM415" s="198"/>
      <c r="BN415" s="198"/>
      <c r="BO415" s="198"/>
      <c r="BP415" s="198"/>
      <c r="BQ415" s="198"/>
      <c r="BR415" s="198"/>
      <c r="BS415" s="198"/>
      <c r="BT415" s="198"/>
      <c r="BU415" s="198"/>
      <c r="BV415" s="198"/>
      <c r="BW415" s="198"/>
      <c r="BX415" s="198"/>
      <c r="BY415" s="198"/>
      <c r="BZ415" s="198"/>
      <c r="CA415" s="198"/>
      <c r="CB415" s="198"/>
      <c r="CC415" s="198"/>
      <c r="CD415" s="198"/>
      <c r="CE415" s="198"/>
      <c r="CF415" s="198"/>
      <c r="CG415" s="198"/>
    </row>
    <row r="416" spans="1:85" s="199" customFormat="1" x14ac:dyDescent="0.25">
      <c r="A416" s="176"/>
      <c r="B416" s="190" t="s">
        <v>20</v>
      </c>
      <c r="C416" s="68" t="s">
        <v>525</v>
      </c>
      <c r="D416" s="219"/>
      <c r="E416" s="219"/>
      <c r="F416" s="219"/>
      <c r="G416" s="219"/>
      <c r="H416" s="728"/>
      <c r="I416" s="197"/>
      <c r="J416" s="197"/>
      <c r="K416" s="197"/>
      <c r="L416" s="197"/>
      <c r="M416" s="197"/>
      <c r="N416" s="197"/>
      <c r="O416" s="197"/>
      <c r="P416" s="197"/>
      <c r="Q416" s="197"/>
      <c r="R416" s="197"/>
      <c r="S416" s="197"/>
      <c r="T416" s="198"/>
      <c r="U416" s="198"/>
      <c r="V416" s="198"/>
      <c r="W416" s="198"/>
      <c r="X416" s="198"/>
      <c r="Y416" s="198"/>
      <c r="Z416" s="198"/>
      <c r="AA416" s="198"/>
      <c r="AB416" s="198"/>
      <c r="AC416" s="198"/>
      <c r="AD416" s="198"/>
      <c r="AE416" s="198"/>
      <c r="AF416" s="198"/>
      <c r="AG416" s="198"/>
      <c r="AH416" s="198"/>
      <c r="AI416" s="198"/>
      <c r="AJ416" s="198"/>
      <c r="AK416" s="198"/>
      <c r="AL416" s="198"/>
      <c r="AM416" s="198"/>
      <c r="AN416" s="198"/>
      <c r="AO416" s="198"/>
      <c r="AP416" s="198"/>
      <c r="AQ416" s="198"/>
      <c r="AR416" s="198"/>
      <c r="AS416" s="198"/>
      <c r="AT416" s="198"/>
      <c r="AU416" s="198"/>
      <c r="AV416" s="198"/>
      <c r="AW416" s="198"/>
      <c r="AX416" s="198"/>
      <c r="AY416" s="198"/>
      <c r="AZ416" s="198"/>
      <c r="BA416" s="198"/>
      <c r="BB416" s="198"/>
      <c r="BC416" s="198"/>
      <c r="BD416" s="198"/>
      <c r="BE416" s="198"/>
      <c r="BF416" s="198"/>
      <c r="BG416" s="198"/>
      <c r="BH416" s="198"/>
      <c r="BI416" s="198"/>
      <c r="BJ416" s="198"/>
      <c r="BK416" s="198"/>
      <c r="BL416" s="198"/>
      <c r="BM416" s="198"/>
      <c r="BN416" s="198"/>
      <c r="BO416" s="198"/>
      <c r="BP416" s="198"/>
      <c r="BQ416" s="198"/>
      <c r="BR416" s="198"/>
      <c r="BS416" s="198"/>
      <c r="BT416" s="198"/>
      <c r="BU416" s="198"/>
      <c r="BV416" s="198"/>
      <c r="BW416" s="198"/>
      <c r="BX416" s="198"/>
      <c r="BY416" s="198"/>
      <c r="BZ416" s="198"/>
      <c r="CA416" s="198"/>
      <c r="CB416" s="198"/>
      <c r="CC416" s="198"/>
      <c r="CD416" s="198"/>
      <c r="CE416" s="198"/>
      <c r="CF416" s="198"/>
      <c r="CG416" s="198"/>
    </row>
    <row r="417" spans="1:85" s="199" customFormat="1" x14ac:dyDescent="0.25">
      <c r="A417" s="176"/>
      <c r="B417" s="190" t="s">
        <v>21</v>
      </c>
      <c r="C417" s="68" t="s">
        <v>525</v>
      </c>
      <c r="D417" s="219"/>
      <c r="E417" s="219"/>
      <c r="F417" s="219"/>
      <c r="G417" s="219"/>
      <c r="H417" s="728"/>
      <c r="I417" s="197"/>
      <c r="J417" s="197"/>
      <c r="K417" s="197"/>
      <c r="L417" s="197"/>
      <c r="M417" s="197"/>
      <c r="N417" s="197"/>
      <c r="O417" s="197"/>
      <c r="P417" s="197"/>
      <c r="Q417" s="197"/>
      <c r="R417" s="197"/>
      <c r="S417" s="197"/>
      <c r="T417" s="198"/>
      <c r="U417" s="198"/>
      <c r="V417" s="198"/>
      <c r="W417" s="198"/>
      <c r="X417" s="198"/>
      <c r="Y417" s="198"/>
      <c r="Z417" s="198"/>
      <c r="AA417" s="198"/>
      <c r="AB417" s="198"/>
      <c r="AC417" s="198"/>
      <c r="AD417" s="198"/>
      <c r="AE417" s="198"/>
      <c r="AF417" s="198"/>
      <c r="AG417" s="198"/>
      <c r="AH417" s="198"/>
      <c r="AI417" s="198"/>
      <c r="AJ417" s="198"/>
      <c r="AK417" s="198"/>
      <c r="AL417" s="198"/>
      <c r="AM417" s="198"/>
      <c r="AN417" s="198"/>
      <c r="AO417" s="198"/>
      <c r="AP417" s="198"/>
      <c r="AQ417" s="198"/>
      <c r="AR417" s="198"/>
      <c r="AS417" s="198"/>
      <c r="AT417" s="198"/>
      <c r="AU417" s="198"/>
      <c r="AV417" s="198"/>
      <c r="AW417" s="198"/>
      <c r="AX417" s="198"/>
      <c r="AY417" s="198"/>
      <c r="AZ417" s="198"/>
      <c r="BA417" s="198"/>
      <c r="BB417" s="198"/>
      <c r="BC417" s="198"/>
      <c r="BD417" s="198"/>
      <c r="BE417" s="198"/>
      <c r="BF417" s="198"/>
      <c r="BG417" s="198"/>
      <c r="BH417" s="198"/>
      <c r="BI417" s="198"/>
      <c r="BJ417" s="198"/>
      <c r="BK417" s="198"/>
      <c r="BL417" s="198"/>
      <c r="BM417" s="198"/>
      <c r="BN417" s="198"/>
      <c r="BO417" s="198"/>
      <c r="BP417" s="198"/>
      <c r="BQ417" s="198"/>
      <c r="BR417" s="198"/>
      <c r="BS417" s="198"/>
      <c r="BT417" s="198"/>
      <c r="BU417" s="198"/>
      <c r="BV417" s="198"/>
      <c r="BW417" s="198"/>
      <c r="BX417" s="198"/>
      <c r="BY417" s="198"/>
      <c r="BZ417" s="198"/>
      <c r="CA417" s="198"/>
      <c r="CB417" s="198"/>
      <c r="CC417" s="198"/>
      <c r="CD417" s="198"/>
      <c r="CE417" s="198"/>
      <c r="CF417" s="198"/>
      <c r="CG417" s="198"/>
    </row>
    <row r="418" spans="1:85" s="199" customFormat="1" x14ac:dyDescent="0.25">
      <c r="A418" s="176"/>
      <c r="B418" s="190" t="s">
        <v>196</v>
      </c>
      <c r="C418" s="68" t="s">
        <v>525</v>
      </c>
      <c r="D418" s="219"/>
      <c r="E418" s="219"/>
      <c r="F418" s="219"/>
      <c r="G418" s="219"/>
      <c r="H418" s="728"/>
      <c r="I418" s="197"/>
      <c r="J418" s="197"/>
      <c r="K418" s="197"/>
      <c r="L418" s="197"/>
      <c r="M418" s="197"/>
      <c r="N418" s="197"/>
      <c r="O418" s="197"/>
      <c r="P418" s="197"/>
      <c r="Q418" s="197"/>
      <c r="R418" s="197"/>
      <c r="S418" s="197"/>
      <c r="T418" s="198"/>
      <c r="U418" s="198"/>
      <c r="V418" s="198"/>
      <c r="W418" s="198"/>
      <c r="X418" s="198"/>
      <c r="Y418" s="198"/>
      <c r="Z418" s="198"/>
      <c r="AA418" s="198"/>
      <c r="AB418" s="198"/>
      <c r="AC418" s="198"/>
      <c r="AD418" s="198"/>
      <c r="AE418" s="198"/>
      <c r="AF418" s="198"/>
      <c r="AG418" s="198"/>
      <c r="AH418" s="198"/>
      <c r="AI418" s="198"/>
      <c r="AJ418" s="198"/>
      <c r="AK418" s="198"/>
      <c r="AL418" s="198"/>
      <c r="AM418" s="198"/>
      <c r="AN418" s="198"/>
      <c r="AO418" s="198"/>
      <c r="AP418" s="198"/>
      <c r="AQ418" s="198"/>
      <c r="AR418" s="198"/>
      <c r="AS418" s="198"/>
      <c r="AT418" s="198"/>
      <c r="AU418" s="198"/>
      <c r="AV418" s="198"/>
      <c r="AW418" s="198"/>
      <c r="AX418" s="198"/>
      <c r="AY418" s="198"/>
      <c r="AZ418" s="198"/>
      <c r="BA418" s="198"/>
      <c r="BB418" s="198"/>
      <c r="BC418" s="198"/>
      <c r="BD418" s="198"/>
      <c r="BE418" s="198"/>
      <c r="BF418" s="198"/>
      <c r="BG418" s="198"/>
      <c r="BH418" s="198"/>
      <c r="BI418" s="198"/>
      <c r="BJ418" s="198"/>
      <c r="BK418" s="198"/>
      <c r="BL418" s="198"/>
      <c r="BM418" s="198"/>
      <c r="BN418" s="198"/>
      <c r="BO418" s="198"/>
      <c r="BP418" s="198"/>
      <c r="BQ418" s="198"/>
      <c r="BR418" s="198"/>
      <c r="BS418" s="198"/>
      <c r="BT418" s="198"/>
      <c r="BU418" s="198"/>
      <c r="BV418" s="198"/>
      <c r="BW418" s="198"/>
      <c r="BX418" s="198"/>
      <c r="BY418" s="198"/>
      <c r="BZ418" s="198"/>
      <c r="CA418" s="198"/>
      <c r="CB418" s="198"/>
      <c r="CC418" s="198"/>
      <c r="CD418" s="198"/>
      <c r="CE418" s="198"/>
      <c r="CF418" s="198"/>
      <c r="CG418" s="198"/>
    </row>
    <row r="419" spans="1:85" s="199" customFormat="1" x14ac:dyDescent="0.25">
      <c r="A419" s="177"/>
      <c r="B419" s="191" t="s">
        <v>197</v>
      </c>
      <c r="C419" s="69" t="s">
        <v>1464</v>
      </c>
      <c r="D419" s="729"/>
      <c r="E419" s="729"/>
      <c r="F419" s="729"/>
      <c r="G419" s="729"/>
      <c r="H419" s="730"/>
      <c r="I419" s="197"/>
      <c r="J419" s="197"/>
      <c r="K419" s="197"/>
      <c r="L419" s="197"/>
      <c r="M419" s="197"/>
      <c r="N419" s="197"/>
      <c r="O419" s="197"/>
      <c r="P419" s="197"/>
      <c r="Q419" s="197"/>
      <c r="R419" s="197"/>
      <c r="S419" s="197"/>
      <c r="T419" s="198"/>
      <c r="U419" s="198"/>
      <c r="V419" s="198"/>
      <c r="W419" s="198"/>
      <c r="X419" s="198"/>
      <c r="Y419" s="198"/>
      <c r="Z419" s="198"/>
      <c r="AA419" s="198"/>
      <c r="AB419" s="198"/>
      <c r="AC419" s="198"/>
      <c r="AD419" s="198"/>
      <c r="AE419" s="198"/>
      <c r="AF419" s="198"/>
      <c r="AG419" s="198"/>
      <c r="AH419" s="198"/>
      <c r="AI419" s="198"/>
      <c r="AJ419" s="198"/>
      <c r="AK419" s="198"/>
      <c r="AL419" s="198"/>
      <c r="AM419" s="198"/>
      <c r="AN419" s="198"/>
      <c r="AO419" s="198"/>
      <c r="AP419" s="198"/>
      <c r="AQ419" s="198"/>
      <c r="AR419" s="198"/>
      <c r="AS419" s="198"/>
      <c r="AT419" s="198"/>
      <c r="AU419" s="198"/>
      <c r="AV419" s="198"/>
      <c r="AW419" s="198"/>
      <c r="AX419" s="198"/>
      <c r="AY419" s="198"/>
      <c r="AZ419" s="198"/>
      <c r="BA419" s="198"/>
      <c r="BB419" s="198"/>
      <c r="BC419" s="198"/>
      <c r="BD419" s="198"/>
      <c r="BE419" s="198"/>
      <c r="BF419" s="198"/>
      <c r="BG419" s="198"/>
      <c r="BH419" s="198"/>
      <c r="BI419" s="198"/>
      <c r="BJ419" s="198"/>
      <c r="BK419" s="198"/>
      <c r="BL419" s="198"/>
      <c r="BM419" s="198"/>
      <c r="BN419" s="198"/>
      <c r="BO419" s="198"/>
      <c r="BP419" s="198"/>
      <c r="BQ419" s="198"/>
      <c r="BR419" s="198"/>
      <c r="BS419" s="198"/>
      <c r="BT419" s="198"/>
      <c r="BU419" s="198"/>
      <c r="BV419" s="198"/>
      <c r="BW419" s="198"/>
      <c r="BX419" s="198"/>
      <c r="BY419" s="198"/>
      <c r="BZ419" s="198"/>
      <c r="CA419" s="198"/>
      <c r="CB419" s="198"/>
      <c r="CC419" s="198"/>
      <c r="CD419" s="198"/>
      <c r="CE419" s="198"/>
      <c r="CF419" s="198"/>
      <c r="CG419" s="198"/>
    </row>
    <row r="420" spans="1:85" s="199" customFormat="1" ht="15.6" thickBot="1" x14ac:dyDescent="0.3">
      <c r="A420" s="731"/>
      <c r="B420" s="732" t="s">
        <v>22</v>
      </c>
      <c r="C420" s="733">
        <v>50000</v>
      </c>
      <c r="D420" s="734"/>
      <c r="E420" s="734"/>
      <c r="F420" s="734"/>
      <c r="G420" s="734"/>
      <c r="H420" s="734"/>
      <c r="I420" s="197"/>
      <c r="J420" s="197"/>
      <c r="K420" s="197"/>
      <c r="L420" s="197"/>
      <c r="M420" s="197"/>
      <c r="N420" s="197"/>
      <c r="O420" s="197"/>
      <c r="P420" s="197"/>
      <c r="Q420" s="197"/>
      <c r="R420" s="197"/>
      <c r="S420" s="197"/>
      <c r="T420" s="198"/>
      <c r="U420" s="198"/>
      <c r="V420" s="198"/>
      <c r="W420" s="198"/>
      <c r="X420" s="198"/>
      <c r="Y420" s="198"/>
      <c r="Z420" s="198"/>
      <c r="AA420" s="198"/>
      <c r="AB420" s="198"/>
      <c r="AC420" s="198"/>
      <c r="AD420" s="198"/>
      <c r="AE420" s="198"/>
      <c r="AF420" s="198"/>
      <c r="AG420" s="198"/>
      <c r="AH420" s="198"/>
      <c r="AI420" s="198"/>
      <c r="AJ420" s="198"/>
      <c r="AK420" s="198"/>
      <c r="AL420" s="198"/>
      <c r="AM420" s="198"/>
      <c r="AN420" s="198"/>
      <c r="AO420" s="198"/>
      <c r="AP420" s="198"/>
      <c r="AQ420" s="198"/>
      <c r="AR420" s="198"/>
      <c r="AS420" s="198"/>
      <c r="AT420" s="198"/>
      <c r="AU420" s="198"/>
      <c r="AV420" s="198"/>
      <c r="AW420" s="198"/>
      <c r="AX420" s="198"/>
      <c r="AY420" s="198"/>
      <c r="AZ420" s="198"/>
      <c r="BA420" s="198"/>
      <c r="BB420" s="198"/>
      <c r="BC420" s="198"/>
      <c r="BD420" s="198"/>
      <c r="BE420" s="198"/>
      <c r="BF420" s="198"/>
      <c r="BG420" s="198"/>
      <c r="BH420" s="198"/>
      <c r="BI420" s="198"/>
      <c r="BJ420" s="198"/>
      <c r="BK420" s="198"/>
      <c r="BL420" s="198"/>
      <c r="BM420" s="198"/>
      <c r="BN420" s="198"/>
      <c r="BO420" s="198"/>
      <c r="BP420" s="198"/>
      <c r="BQ420" s="198"/>
      <c r="BR420" s="198"/>
      <c r="BS420" s="198"/>
      <c r="BT420" s="198"/>
      <c r="BU420" s="198"/>
      <c r="BV420" s="198"/>
      <c r="BW420" s="198"/>
      <c r="BX420" s="198"/>
      <c r="BY420" s="198"/>
      <c r="BZ420" s="198"/>
      <c r="CA420" s="198"/>
      <c r="CB420" s="198"/>
      <c r="CC420" s="198"/>
      <c r="CD420" s="198"/>
      <c r="CE420" s="198"/>
      <c r="CF420" s="198"/>
      <c r="CG420" s="198"/>
    </row>
    <row r="421" spans="1:85" s="1" customFormat="1" ht="16.2" thickTop="1" x14ac:dyDescent="0.25">
      <c r="A421" s="735" t="s">
        <v>30</v>
      </c>
      <c r="B421" s="736"/>
      <c r="C421" s="737" t="s">
        <v>525</v>
      </c>
      <c r="D421" s="738"/>
      <c r="E421" s="739"/>
      <c r="F421" s="739"/>
      <c r="G421" s="739"/>
      <c r="H421" s="740"/>
      <c r="I421" s="2"/>
      <c r="J421" s="2"/>
      <c r="K421" s="2"/>
      <c r="L421" s="2"/>
      <c r="M421" s="2"/>
      <c r="N421" s="2"/>
      <c r="O421" s="2"/>
      <c r="P421" s="2"/>
      <c r="Q421" s="2"/>
      <c r="R421" s="2"/>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row>
    <row r="422" spans="1:85" s="1" customFormat="1" ht="16.2" thickBot="1" x14ac:dyDescent="0.3">
      <c r="A422" s="741" t="s">
        <v>184</v>
      </c>
      <c r="B422" s="742"/>
      <c r="C422" s="743"/>
      <c r="D422" s="744"/>
      <c r="E422" s="745"/>
      <c r="F422" s="745"/>
      <c r="G422" s="745"/>
      <c r="H422" s="746"/>
      <c r="I422" s="2"/>
      <c r="J422" s="2"/>
      <c r="K422" s="2"/>
      <c r="L422" s="2"/>
      <c r="M422" s="2"/>
      <c r="N422" s="2"/>
      <c r="O422" s="2"/>
      <c r="P422" s="2"/>
      <c r="Q422" s="2"/>
      <c r="R422" s="2"/>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row>
    <row r="423" spans="1:85" s="199" customFormat="1" ht="15.6" thickTop="1" x14ac:dyDescent="0.25">
      <c r="A423" s="227" t="s">
        <v>306</v>
      </c>
      <c r="B423" s="221"/>
      <c r="C423" s="278"/>
      <c r="D423" s="182"/>
      <c r="E423" s="182"/>
      <c r="F423" s="182"/>
      <c r="G423" s="182"/>
      <c r="H423" s="182"/>
      <c r="I423" s="197"/>
      <c r="J423" s="197"/>
      <c r="K423" s="197"/>
      <c r="L423" s="197"/>
      <c r="M423" s="197"/>
      <c r="N423" s="197"/>
      <c r="O423" s="197"/>
      <c r="P423" s="197"/>
      <c r="Q423" s="197"/>
      <c r="R423" s="197"/>
      <c r="S423" s="197"/>
      <c r="T423" s="198"/>
      <c r="U423" s="198"/>
      <c r="V423" s="198"/>
      <c r="W423" s="198"/>
      <c r="X423" s="198"/>
      <c r="Y423" s="198"/>
      <c r="Z423" s="198"/>
      <c r="AA423" s="198"/>
      <c r="AB423" s="198"/>
      <c r="AC423" s="198"/>
      <c r="AD423" s="198"/>
      <c r="AE423" s="198"/>
      <c r="AF423" s="198"/>
      <c r="AG423" s="198"/>
      <c r="AH423" s="198"/>
      <c r="AI423" s="198"/>
      <c r="AJ423" s="198"/>
      <c r="AK423" s="198"/>
      <c r="AL423" s="198"/>
      <c r="AM423" s="198"/>
      <c r="AN423" s="198"/>
      <c r="AO423" s="198"/>
      <c r="AP423" s="198"/>
      <c r="AQ423" s="198"/>
      <c r="AR423" s="198"/>
      <c r="AS423" s="198"/>
      <c r="AT423" s="198"/>
      <c r="AU423" s="198"/>
      <c r="AV423" s="198"/>
      <c r="AW423" s="198"/>
      <c r="AX423" s="198"/>
      <c r="AY423" s="198"/>
      <c r="AZ423" s="198"/>
      <c r="BA423" s="198"/>
      <c r="BB423" s="198"/>
      <c r="BC423" s="198"/>
      <c r="BD423" s="198"/>
      <c r="BE423" s="198"/>
      <c r="BF423" s="198"/>
      <c r="BG423" s="198"/>
      <c r="BH423" s="198"/>
      <c r="BI423" s="198"/>
      <c r="BJ423" s="198"/>
      <c r="BK423" s="198"/>
      <c r="BL423" s="198"/>
      <c r="BM423" s="198"/>
      <c r="BN423" s="198"/>
      <c r="BO423" s="198"/>
      <c r="BP423" s="198"/>
      <c r="BQ423" s="198"/>
      <c r="BR423" s="198"/>
      <c r="BS423" s="198"/>
      <c r="BT423" s="198"/>
      <c r="BU423" s="198"/>
      <c r="BV423" s="198"/>
      <c r="BW423" s="198"/>
      <c r="BX423" s="198"/>
      <c r="BY423" s="198"/>
      <c r="BZ423" s="198"/>
      <c r="CA423" s="198"/>
      <c r="CB423" s="198"/>
      <c r="CC423" s="198"/>
      <c r="CD423" s="198"/>
      <c r="CE423" s="198"/>
      <c r="CF423" s="198"/>
      <c r="CG423" s="198"/>
    </row>
    <row r="424" spans="1:85" s="199" customFormat="1" x14ac:dyDescent="0.25">
      <c r="A424" s="773"/>
      <c r="B424" s="619" t="s">
        <v>305</v>
      </c>
      <c r="C424" s="774"/>
      <c r="D424" s="289"/>
      <c r="E424" s="289"/>
      <c r="F424" s="289"/>
      <c r="G424" s="289"/>
      <c r="H424" s="289"/>
      <c r="I424" s="197"/>
      <c r="J424" s="197"/>
      <c r="K424" s="197"/>
      <c r="L424" s="197"/>
      <c r="M424" s="197"/>
      <c r="N424" s="197"/>
      <c r="O424" s="197"/>
      <c r="P424" s="197"/>
      <c r="Q424" s="197"/>
      <c r="R424" s="197"/>
      <c r="S424" s="197"/>
      <c r="T424" s="198"/>
      <c r="U424" s="198"/>
      <c r="V424" s="198"/>
      <c r="W424" s="198"/>
      <c r="X424" s="198"/>
      <c r="Y424" s="198"/>
      <c r="Z424" s="198"/>
      <c r="AA424" s="198"/>
      <c r="AB424" s="198"/>
      <c r="AC424" s="198"/>
      <c r="AD424" s="198"/>
      <c r="AE424" s="198"/>
      <c r="AF424" s="198"/>
      <c r="AG424" s="198"/>
      <c r="AH424" s="198"/>
      <c r="AI424" s="198"/>
      <c r="AJ424" s="198"/>
      <c r="AK424" s="198"/>
      <c r="AL424" s="198"/>
      <c r="AM424" s="198"/>
      <c r="AN424" s="198"/>
      <c r="AO424" s="198"/>
      <c r="AP424" s="198"/>
      <c r="AQ424" s="198"/>
      <c r="AR424" s="198"/>
      <c r="AS424" s="198"/>
      <c r="AT424" s="198"/>
      <c r="AU424" s="198"/>
      <c r="AV424" s="198"/>
      <c r="AW424" s="198"/>
      <c r="AX424" s="198"/>
      <c r="AY424" s="198"/>
      <c r="AZ424" s="198"/>
      <c r="BA424" s="198"/>
      <c r="BB424" s="198"/>
      <c r="BC424" s="198"/>
      <c r="BD424" s="198"/>
      <c r="BE424" s="198"/>
      <c r="BF424" s="198"/>
      <c r="BG424" s="198"/>
      <c r="BH424" s="198"/>
      <c r="BI424" s="198"/>
      <c r="BJ424" s="198"/>
      <c r="BK424" s="198"/>
      <c r="BL424" s="198"/>
      <c r="BM424" s="198"/>
      <c r="BN424" s="198"/>
      <c r="BO424" s="198"/>
      <c r="BP424" s="198"/>
      <c r="BQ424" s="198"/>
      <c r="BR424" s="198"/>
      <c r="BS424" s="198"/>
      <c r="BT424" s="198"/>
      <c r="BU424" s="198"/>
      <c r="BV424" s="198"/>
      <c r="BW424" s="198"/>
      <c r="BX424" s="198"/>
      <c r="BY424" s="198"/>
      <c r="BZ424" s="198"/>
      <c r="CA424" s="198"/>
      <c r="CB424" s="198"/>
      <c r="CC424" s="198"/>
      <c r="CD424" s="198"/>
      <c r="CE424" s="198"/>
      <c r="CF424" s="198"/>
      <c r="CG424" s="198"/>
    </row>
    <row r="425" spans="1:85" s="199" customFormat="1" x14ac:dyDescent="0.25">
      <c r="A425" s="169" t="s">
        <v>299</v>
      </c>
      <c r="B425" s="170"/>
      <c r="C425" s="243"/>
      <c r="D425" s="171"/>
      <c r="E425" s="171"/>
      <c r="F425" s="171"/>
      <c r="G425" s="171"/>
      <c r="H425" s="171"/>
      <c r="I425" s="197"/>
      <c r="J425" s="197"/>
      <c r="K425" s="197"/>
      <c r="L425" s="197"/>
      <c r="M425" s="197"/>
      <c r="N425" s="197"/>
      <c r="O425" s="197"/>
      <c r="P425" s="197"/>
      <c r="Q425" s="197"/>
      <c r="R425" s="197"/>
      <c r="S425" s="197"/>
      <c r="T425" s="198"/>
      <c r="U425" s="198"/>
      <c r="V425" s="198"/>
      <c r="W425" s="198"/>
      <c r="X425" s="198"/>
      <c r="Y425" s="198"/>
      <c r="Z425" s="198"/>
      <c r="AA425" s="198"/>
      <c r="AB425" s="198"/>
      <c r="AC425" s="198"/>
      <c r="AD425" s="198"/>
      <c r="AE425" s="198"/>
      <c r="AF425" s="198"/>
      <c r="AG425" s="198"/>
      <c r="AH425" s="198"/>
      <c r="AI425" s="198"/>
      <c r="AJ425" s="198"/>
      <c r="AK425" s="198"/>
      <c r="AL425" s="198"/>
      <c r="AM425" s="198"/>
      <c r="AN425" s="198"/>
      <c r="AO425" s="198"/>
      <c r="AP425" s="198"/>
      <c r="AQ425" s="198"/>
      <c r="AR425" s="198"/>
      <c r="AS425" s="198"/>
      <c r="AT425" s="198"/>
      <c r="AU425" s="198"/>
      <c r="AV425" s="198"/>
      <c r="AW425" s="198"/>
      <c r="AX425" s="198"/>
      <c r="AY425" s="198"/>
      <c r="AZ425" s="198"/>
      <c r="BA425" s="198"/>
      <c r="BB425" s="198"/>
      <c r="BC425" s="198"/>
      <c r="BD425" s="198"/>
      <c r="BE425" s="198"/>
      <c r="BF425" s="198"/>
      <c r="BG425" s="198"/>
      <c r="BH425" s="198"/>
      <c r="BI425" s="198"/>
      <c r="BJ425" s="198"/>
      <c r="BK425" s="198"/>
      <c r="BL425" s="198"/>
      <c r="BM425" s="198"/>
      <c r="BN425" s="198"/>
      <c r="BO425" s="198"/>
      <c r="BP425" s="198"/>
      <c r="BQ425" s="198"/>
      <c r="BR425" s="198"/>
      <c r="BS425" s="198"/>
      <c r="BT425" s="198"/>
      <c r="BU425" s="198"/>
      <c r="BV425" s="198"/>
      <c r="BW425" s="198"/>
      <c r="BX425" s="198"/>
      <c r="BY425" s="198"/>
      <c r="BZ425" s="198"/>
      <c r="CA425" s="198"/>
      <c r="CB425" s="198"/>
      <c r="CC425" s="198"/>
      <c r="CD425" s="198"/>
      <c r="CE425" s="198"/>
      <c r="CF425" s="198"/>
      <c r="CG425" s="198"/>
    </row>
    <row r="426" spans="1:85" s="199" customFormat="1" x14ac:dyDescent="0.25">
      <c r="A426" s="169"/>
      <c r="B426" s="170" t="s">
        <v>314</v>
      </c>
      <c r="C426" s="243"/>
      <c r="D426" s="171"/>
      <c r="E426" s="171"/>
      <c r="F426" s="171"/>
      <c r="G426" s="171"/>
      <c r="H426" s="171"/>
      <c r="I426" s="197"/>
      <c r="J426" s="197"/>
      <c r="K426" s="197"/>
      <c r="L426" s="197"/>
      <c r="M426" s="197"/>
      <c r="N426" s="197"/>
      <c r="O426" s="197"/>
      <c r="P426" s="197"/>
      <c r="Q426" s="197"/>
      <c r="R426" s="197"/>
      <c r="S426" s="197"/>
      <c r="T426" s="198"/>
      <c r="U426" s="198"/>
      <c r="V426" s="198"/>
      <c r="W426" s="198"/>
      <c r="X426" s="198"/>
      <c r="Y426" s="198"/>
      <c r="Z426" s="198"/>
      <c r="AA426" s="198"/>
      <c r="AB426" s="198"/>
      <c r="AC426" s="198"/>
      <c r="AD426" s="198"/>
      <c r="AE426" s="198"/>
      <c r="AF426" s="198"/>
      <c r="AG426" s="198"/>
      <c r="AH426" s="198"/>
      <c r="AI426" s="198"/>
      <c r="AJ426" s="198"/>
      <c r="AK426" s="198"/>
      <c r="AL426" s="198"/>
      <c r="AM426" s="198"/>
      <c r="AN426" s="198"/>
      <c r="AO426" s="198"/>
      <c r="AP426" s="198"/>
      <c r="AQ426" s="198"/>
      <c r="AR426" s="198"/>
      <c r="AS426" s="198"/>
      <c r="AT426" s="198"/>
      <c r="AU426" s="198"/>
      <c r="AV426" s="198"/>
      <c r="AW426" s="198"/>
      <c r="AX426" s="198"/>
      <c r="AY426" s="198"/>
      <c r="AZ426" s="198"/>
      <c r="BA426" s="198"/>
      <c r="BB426" s="198"/>
      <c r="BC426" s="198"/>
      <c r="BD426" s="198"/>
      <c r="BE426" s="198"/>
      <c r="BF426" s="198"/>
      <c r="BG426" s="198"/>
      <c r="BH426" s="198"/>
      <c r="BI426" s="198"/>
      <c r="BJ426" s="198"/>
      <c r="BK426" s="198"/>
      <c r="BL426" s="198"/>
      <c r="BM426" s="198"/>
      <c r="BN426" s="198"/>
      <c r="BO426" s="198"/>
      <c r="BP426" s="198"/>
      <c r="BQ426" s="198"/>
      <c r="BR426" s="198"/>
      <c r="BS426" s="198"/>
      <c r="BT426" s="198"/>
      <c r="BU426" s="198"/>
      <c r="BV426" s="198"/>
      <c r="BW426" s="198"/>
      <c r="BX426" s="198"/>
      <c r="BY426" s="198"/>
      <c r="BZ426" s="198"/>
      <c r="CA426" s="198"/>
      <c r="CB426" s="198"/>
      <c r="CC426" s="198"/>
      <c r="CD426" s="198"/>
      <c r="CE426" s="198"/>
      <c r="CF426" s="198"/>
      <c r="CG426" s="198"/>
    </row>
    <row r="427" spans="1:85" s="199" customFormat="1" x14ac:dyDescent="0.25">
      <c r="A427" s="169" t="s">
        <v>315</v>
      </c>
      <c r="B427" s="170"/>
      <c r="C427" s="243"/>
      <c r="D427" s="171"/>
      <c r="E427" s="171"/>
      <c r="F427" s="171"/>
      <c r="G427" s="171"/>
      <c r="H427" s="171"/>
      <c r="I427" s="197"/>
      <c r="J427" s="197"/>
      <c r="K427" s="197"/>
      <c r="L427" s="197"/>
      <c r="M427" s="197"/>
      <c r="N427" s="197"/>
      <c r="O427" s="197"/>
      <c r="P427" s="197"/>
      <c r="Q427" s="197"/>
      <c r="R427" s="197"/>
      <c r="S427" s="197"/>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8"/>
      <c r="AY427" s="198"/>
      <c r="AZ427" s="198"/>
      <c r="BA427" s="198"/>
      <c r="BB427" s="198"/>
      <c r="BC427" s="198"/>
      <c r="BD427" s="198"/>
      <c r="BE427" s="198"/>
      <c r="BF427" s="198"/>
      <c r="BG427" s="198"/>
      <c r="BH427" s="198"/>
      <c r="BI427" s="198"/>
      <c r="BJ427" s="198"/>
      <c r="BK427" s="198"/>
      <c r="BL427" s="198"/>
      <c r="BM427" s="198"/>
      <c r="BN427" s="198"/>
      <c r="BO427" s="198"/>
      <c r="BP427" s="198"/>
      <c r="BQ427" s="198"/>
      <c r="BR427" s="198"/>
      <c r="BS427" s="198"/>
      <c r="BT427" s="198"/>
      <c r="BU427" s="198"/>
      <c r="BV427" s="198"/>
      <c r="BW427" s="198"/>
      <c r="BX427" s="198"/>
      <c r="BY427" s="198"/>
      <c r="BZ427" s="198"/>
      <c r="CA427" s="198"/>
      <c r="CB427" s="198"/>
      <c r="CC427" s="198"/>
      <c r="CD427" s="198"/>
      <c r="CE427" s="198"/>
      <c r="CF427" s="198"/>
      <c r="CG427" s="198"/>
    </row>
    <row r="428" spans="1:85" s="199" customFormat="1" x14ac:dyDescent="0.25">
      <c r="A428" s="169"/>
      <c r="B428" s="170" t="s">
        <v>314</v>
      </c>
      <c r="C428" s="778"/>
      <c r="D428" s="779"/>
      <c r="E428" s="779"/>
      <c r="F428" s="779"/>
      <c r="G428" s="779"/>
      <c r="H428" s="779"/>
      <c r="I428" s="197"/>
      <c r="J428" s="197"/>
      <c r="K428" s="197"/>
      <c r="L428" s="197"/>
      <c r="M428" s="197"/>
      <c r="N428" s="197"/>
      <c r="O428" s="197"/>
      <c r="P428" s="197"/>
      <c r="Q428" s="197"/>
      <c r="R428" s="197"/>
      <c r="S428" s="197"/>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8"/>
      <c r="AY428" s="198"/>
      <c r="AZ428" s="198"/>
      <c r="BA428" s="198"/>
      <c r="BB428" s="198"/>
      <c r="BC428" s="198"/>
      <c r="BD428" s="198"/>
      <c r="BE428" s="198"/>
      <c r="BF428" s="198"/>
      <c r="BG428" s="198"/>
      <c r="BH428" s="198"/>
      <c r="BI428" s="198"/>
      <c r="BJ428" s="198"/>
      <c r="BK428" s="198"/>
      <c r="BL428" s="198"/>
      <c r="BM428" s="198"/>
      <c r="BN428" s="198"/>
      <c r="BO428" s="198"/>
      <c r="BP428" s="198"/>
      <c r="BQ428" s="198"/>
      <c r="BR428" s="198"/>
      <c r="BS428" s="198"/>
      <c r="BT428" s="198"/>
      <c r="BU428" s="198"/>
      <c r="BV428" s="198"/>
      <c r="BW428" s="198"/>
      <c r="BX428" s="198"/>
      <c r="BY428" s="198"/>
      <c r="BZ428" s="198"/>
      <c r="CA428" s="198"/>
      <c r="CB428" s="198"/>
      <c r="CC428" s="198"/>
      <c r="CD428" s="198"/>
      <c r="CE428" s="198"/>
      <c r="CF428" s="198"/>
      <c r="CG428" s="198"/>
    </row>
    <row r="429" spans="1:85" s="199" customFormat="1" x14ac:dyDescent="0.25">
      <c r="A429" s="169" t="s">
        <v>316</v>
      </c>
      <c r="B429" s="777"/>
      <c r="C429" s="778"/>
      <c r="D429" s="779"/>
      <c r="E429" s="779"/>
      <c r="F429" s="779"/>
      <c r="G429" s="779"/>
      <c r="H429" s="779"/>
      <c r="I429" s="197"/>
      <c r="J429" s="197"/>
      <c r="K429" s="197"/>
      <c r="L429" s="197"/>
      <c r="M429" s="197"/>
      <c r="N429" s="197"/>
      <c r="O429" s="197"/>
      <c r="P429" s="197"/>
      <c r="Q429" s="197"/>
      <c r="R429" s="197"/>
      <c r="S429" s="197"/>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8"/>
      <c r="AY429" s="198"/>
      <c r="AZ429" s="198"/>
      <c r="BA429" s="198"/>
      <c r="BB429" s="198"/>
      <c r="BC429" s="198"/>
      <c r="BD429" s="198"/>
      <c r="BE429" s="198"/>
      <c r="BF429" s="198"/>
      <c r="BG429" s="198"/>
      <c r="BH429" s="198"/>
      <c r="BI429" s="198"/>
      <c r="BJ429" s="198"/>
      <c r="BK429" s="198"/>
      <c r="BL429" s="198"/>
      <c r="BM429" s="198"/>
      <c r="BN429" s="198"/>
      <c r="BO429" s="198"/>
      <c r="BP429" s="198"/>
      <c r="BQ429" s="198"/>
      <c r="BR429" s="198"/>
      <c r="BS429" s="198"/>
      <c r="BT429" s="198"/>
      <c r="BU429" s="198"/>
      <c r="BV429" s="198"/>
      <c r="BW429" s="198"/>
      <c r="BX429" s="198"/>
      <c r="BY429" s="198"/>
      <c r="BZ429" s="198"/>
      <c r="CA429" s="198"/>
      <c r="CB429" s="198"/>
      <c r="CC429" s="198"/>
      <c r="CD429" s="198"/>
      <c r="CE429" s="198"/>
      <c r="CF429" s="198"/>
      <c r="CG429" s="198"/>
    </row>
    <row r="430" spans="1:85" s="199" customFormat="1" x14ac:dyDescent="0.25">
      <c r="A430" s="776"/>
      <c r="B430" s="170" t="s">
        <v>314</v>
      </c>
      <c r="C430" s="778"/>
      <c r="D430" s="779"/>
      <c r="E430" s="779"/>
      <c r="F430" s="779"/>
      <c r="G430" s="779"/>
      <c r="H430" s="779"/>
      <c r="I430" s="197"/>
      <c r="J430" s="197"/>
      <c r="K430" s="197"/>
      <c r="L430" s="197"/>
      <c r="M430" s="197"/>
      <c r="N430" s="197"/>
      <c r="O430" s="197"/>
      <c r="P430" s="197"/>
      <c r="Q430" s="197"/>
      <c r="R430" s="197"/>
      <c r="S430" s="197"/>
      <c r="T430" s="198"/>
      <c r="U430" s="198"/>
      <c r="V430" s="198"/>
      <c r="W430" s="198"/>
      <c r="X430" s="198"/>
      <c r="Y430" s="198"/>
      <c r="Z430" s="198"/>
      <c r="AA430" s="198"/>
      <c r="AB430" s="198"/>
      <c r="AC430" s="198"/>
      <c r="AD430" s="198"/>
      <c r="AE430" s="198"/>
      <c r="AF430" s="198"/>
      <c r="AG430" s="198"/>
      <c r="AH430" s="198"/>
      <c r="AI430" s="198"/>
      <c r="AJ430" s="198"/>
      <c r="AK430" s="198"/>
      <c r="AL430" s="198"/>
      <c r="AM430" s="198"/>
      <c r="AN430" s="198"/>
      <c r="AO430" s="198"/>
      <c r="AP430" s="198"/>
      <c r="AQ430" s="198"/>
      <c r="AR430" s="198"/>
      <c r="AS430" s="198"/>
      <c r="AT430" s="198"/>
      <c r="AU430" s="198"/>
      <c r="AV430" s="198"/>
      <c r="AW430" s="198"/>
      <c r="AX430" s="198"/>
      <c r="AY430" s="198"/>
      <c r="AZ430" s="198"/>
      <c r="BA430" s="198"/>
      <c r="BB430" s="198"/>
      <c r="BC430" s="198"/>
      <c r="BD430" s="198"/>
      <c r="BE430" s="198"/>
      <c r="BF430" s="198"/>
      <c r="BG430" s="198"/>
      <c r="BH430" s="198"/>
      <c r="BI430" s="198"/>
      <c r="BJ430" s="198"/>
      <c r="BK430" s="198"/>
      <c r="BL430" s="198"/>
      <c r="BM430" s="198"/>
      <c r="BN430" s="198"/>
      <c r="BO430" s="198"/>
      <c r="BP430" s="198"/>
      <c r="BQ430" s="198"/>
      <c r="BR430" s="198"/>
      <c r="BS430" s="198"/>
      <c r="BT430" s="198"/>
      <c r="BU430" s="198"/>
      <c r="BV430" s="198"/>
      <c r="BW430" s="198"/>
      <c r="BX430" s="198"/>
      <c r="BY430" s="198"/>
      <c r="BZ430" s="198"/>
      <c r="CA430" s="198"/>
      <c r="CB430" s="198"/>
      <c r="CC430" s="198"/>
      <c r="CD430" s="198"/>
      <c r="CE430" s="198"/>
      <c r="CF430" s="198"/>
      <c r="CG430" s="198"/>
    </row>
    <row r="431" spans="1:85" s="199" customFormat="1" x14ac:dyDescent="0.25">
      <c r="A431" s="776" t="s">
        <v>304</v>
      </c>
      <c r="B431" s="777"/>
      <c r="C431" s="778"/>
      <c r="D431" s="779"/>
      <c r="E431" s="779"/>
      <c r="F431" s="779"/>
      <c r="G431" s="779"/>
      <c r="H431" s="779"/>
      <c r="I431" s="197"/>
      <c r="J431" s="197"/>
      <c r="K431" s="197"/>
      <c r="L431" s="197"/>
      <c r="M431" s="197"/>
      <c r="N431" s="197"/>
      <c r="O431" s="197"/>
      <c r="P431" s="197"/>
      <c r="Q431" s="197"/>
      <c r="R431" s="197"/>
      <c r="S431" s="197"/>
      <c r="T431" s="198"/>
      <c r="U431" s="198"/>
      <c r="V431" s="198"/>
      <c r="W431" s="198"/>
      <c r="X431" s="198"/>
      <c r="Y431" s="198"/>
      <c r="Z431" s="198"/>
      <c r="AA431" s="198"/>
      <c r="AB431" s="198"/>
      <c r="AC431" s="198"/>
      <c r="AD431" s="198"/>
      <c r="AE431" s="198"/>
      <c r="AF431" s="198"/>
      <c r="AG431" s="198"/>
      <c r="AH431" s="198"/>
      <c r="AI431" s="198"/>
      <c r="AJ431" s="198"/>
      <c r="AK431" s="198"/>
      <c r="AL431" s="198"/>
      <c r="AM431" s="198"/>
      <c r="AN431" s="198"/>
      <c r="AO431" s="198"/>
      <c r="AP431" s="198"/>
      <c r="AQ431" s="198"/>
      <c r="AR431" s="198"/>
      <c r="AS431" s="198"/>
      <c r="AT431" s="198"/>
      <c r="AU431" s="198"/>
      <c r="AV431" s="198"/>
      <c r="AW431" s="198"/>
      <c r="AX431" s="198"/>
      <c r="AY431" s="198"/>
      <c r="AZ431" s="198"/>
      <c r="BA431" s="198"/>
      <c r="BB431" s="198"/>
      <c r="BC431" s="198"/>
      <c r="BD431" s="198"/>
      <c r="BE431" s="198"/>
      <c r="BF431" s="198"/>
      <c r="BG431" s="198"/>
      <c r="BH431" s="198"/>
      <c r="BI431" s="198"/>
      <c r="BJ431" s="198"/>
      <c r="BK431" s="198"/>
      <c r="BL431" s="198"/>
      <c r="BM431" s="198"/>
      <c r="BN431" s="198"/>
      <c r="BO431" s="198"/>
      <c r="BP431" s="198"/>
      <c r="BQ431" s="198"/>
      <c r="BR431" s="198"/>
      <c r="BS431" s="198"/>
      <c r="BT431" s="198"/>
      <c r="BU431" s="198"/>
      <c r="BV431" s="198"/>
      <c r="BW431" s="198"/>
      <c r="BX431" s="198"/>
      <c r="BY431" s="198"/>
      <c r="BZ431" s="198"/>
      <c r="CA431" s="198"/>
      <c r="CB431" s="198"/>
      <c r="CC431" s="198"/>
      <c r="CD431" s="198"/>
      <c r="CE431" s="198"/>
      <c r="CF431" s="198"/>
      <c r="CG431" s="198"/>
    </row>
    <row r="432" spans="1:85" s="199" customFormat="1" x14ac:dyDescent="0.25">
      <c r="A432" s="252"/>
      <c r="B432" s="180" t="s">
        <v>317</v>
      </c>
      <c r="C432" s="266"/>
      <c r="D432" s="181"/>
      <c r="E432" s="181"/>
      <c r="F432" s="181"/>
      <c r="G432" s="181"/>
      <c r="H432" s="181"/>
      <c r="I432" s="197"/>
      <c r="J432" s="197"/>
      <c r="K432" s="197"/>
      <c r="L432" s="197"/>
      <c r="M432" s="197"/>
      <c r="N432" s="197"/>
      <c r="O432" s="197"/>
      <c r="P432" s="197"/>
      <c r="Q432" s="197"/>
      <c r="R432" s="197"/>
      <c r="S432" s="197"/>
      <c r="T432" s="198"/>
      <c r="U432" s="198"/>
      <c r="V432" s="198"/>
      <c r="W432" s="198"/>
      <c r="X432" s="198"/>
      <c r="Y432" s="198"/>
      <c r="Z432" s="198"/>
      <c r="AA432" s="198"/>
      <c r="AB432" s="198"/>
      <c r="AC432" s="198"/>
      <c r="AD432" s="198"/>
      <c r="AE432" s="198"/>
      <c r="AF432" s="198"/>
      <c r="AG432" s="198"/>
      <c r="AH432" s="198"/>
      <c r="AI432" s="198"/>
      <c r="AJ432" s="198"/>
      <c r="AK432" s="198"/>
      <c r="AL432" s="198"/>
      <c r="AM432" s="198"/>
      <c r="AN432" s="198"/>
      <c r="AO432" s="198"/>
      <c r="AP432" s="198"/>
      <c r="AQ432" s="198"/>
      <c r="AR432" s="198"/>
      <c r="AS432" s="198"/>
      <c r="AT432" s="198"/>
      <c r="AU432" s="198"/>
      <c r="AV432" s="198"/>
      <c r="AW432" s="198"/>
      <c r="AX432" s="198"/>
      <c r="AY432" s="198"/>
      <c r="AZ432" s="198"/>
      <c r="BA432" s="198"/>
      <c r="BB432" s="198"/>
      <c r="BC432" s="198"/>
      <c r="BD432" s="198"/>
      <c r="BE432" s="198"/>
      <c r="BF432" s="198"/>
      <c r="BG432" s="198"/>
      <c r="BH432" s="198"/>
      <c r="BI432" s="198"/>
      <c r="BJ432" s="198"/>
      <c r="BK432" s="198"/>
      <c r="BL432" s="198"/>
      <c r="BM432" s="198"/>
      <c r="BN432" s="198"/>
      <c r="BO432" s="198"/>
      <c r="BP432" s="198"/>
      <c r="BQ432" s="198"/>
      <c r="BR432" s="198"/>
      <c r="BS432" s="198"/>
      <c r="BT432" s="198"/>
      <c r="BU432" s="198"/>
      <c r="BV432" s="198"/>
      <c r="BW432" s="198"/>
      <c r="BX432" s="198"/>
      <c r="BY432" s="198"/>
      <c r="BZ432" s="198"/>
      <c r="CA432" s="198"/>
      <c r="CB432" s="198"/>
      <c r="CC432" s="198"/>
      <c r="CD432" s="198"/>
      <c r="CE432" s="198"/>
      <c r="CF432" s="198"/>
      <c r="CG432" s="198"/>
    </row>
    <row r="433" spans="1:85" s="199" customFormat="1" x14ac:dyDescent="0.25">
      <c r="A433" s="223" t="s">
        <v>3</v>
      </c>
      <c r="B433" s="224"/>
      <c r="C433" s="256"/>
      <c r="D433" s="251"/>
      <c r="E433" s="251"/>
      <c r="F433" s="251"/>
      <c r="G433" s="251"/>
      <c r="H433" s="251"/>
      <c r="I433" s="197"/>
      <c r="J433" s="197"/>
      <c r="K433" s="197"/>
      <c r="L433" s="197"/>
      <c r="M433" s="197"/>
      <c r="N433" s="197"/>
      <c r="O433" s="197"/>
      <c r="P433" s="197"/>
      <c r="Q433" s="197"/>
      <c r="R433" s="197"/>
      <c r="S433" s="197"/>
      <c r="T433" s="198"/>
      <c r="U433" s="198"/>
      <c r="V433" s="198"/>
      <c r="W433" s="198"/>
      <c r="X433" s="198"/>
      <c r="Y433" s="198"/>
      <c r="Z433" s="198"/>
      <c r="AA433" s="198"/>
      <c r="AB433" s="198"/>
      <c r="AC433" s="198"/>
      <c r="AD433" s="198"/>
      <c r="AE433" s="198"/>
      <c r="AF433" s="198"/>
      <c r="AG433" s="198"/>
      <c r="AH433" s="198"/>
      <c r="AI433" s="198"/>
      <c r="AJ433" s="198"/>
      <c r="AK433" s="198"/>
      <c r="AL433" s="198"/>
      <c r="AM433" s="198"/>
      <c r="AN433" s="198"/>
      <c r="AO433" s="198"/>
      <c r="AP433" s="198"/>
      <c r="AQ433" s="198"/>
      <c r="AR433" s="198"/>
      <c r="AS433" s="198"/>
      <c r="AT433" s="198"/>
      <c r="AU433" s="198"/>
      <c r="AV433" s="198"/>
      <c r="AW433" s="198"/>
      <c r="AX433" s="198"/>
      <c r="AY433" s="198"/>
      <c r="AZ433" s="198"/>
      <c r="BA433" s="198"/>
      <c r="BB433" s="198"/>
      <c r="BC433" s="198"/>
      <c r="BD433" s="198"/>
      <c r="BE433" s="198"/>
      <c r="BF433" s="198"/>
      <c r="BG433" s="198"/>
      <c r="BH433" s="198"/>
      <c r="BI433" s="198"/>
      <c r="BJ433" s="198"/>
      <c r="BK433" s="198"/>
      <c r="BL433" s="198"/>
      <c r="BM433" s="198"/>
      <c r="BN433" s="198"/>
      <c r="BO433" s="198"/>
      <c r="BP433" s="198"/>
      <c r="BQ433" s="198"/>
      <c r="BR433" s="198"/>
      <c r="BS433" s="198"/>
      <c r="BT433" s="198"/>
      <c r="BU433" s="198"/>
      <c r="BV433" s="198"/>
      <c r="BW433" s="198"/>
      <c r="BX433" s="198"/>
      <c r="BY433" s="198"/>
      <c r="BZ433" s="198"/>
      <c r="CA433" s="198"/>
      <c r="CB433" s="198"/>
      <c r="CC433" s="198"/>
      <c r="CD433" s="198"/>
      <c r="CE433" s="198"/>
      <c r="CF433" s="198"/>
      <c r="CG433" s="198"/>
    </row>
    <row r="434" spans="1:85" s="199" customFormat="1" x14ac:dyDescent="0.25">
      <c r="A434" s="459" t="s">
        <v>76</v>
      </c>
      <c r="B434" s="204"/>
      <c r="C434" s="205"/>
      <c r="D434" s="460"/>
      <c r="E434" s="460"/>
      <c r="F434" s="460"/>
      <c r="G434" s="460"/>
      <c r="H434" s="460"/>
      <c r="I434" s="197"/>
      <c r="J434" s="197"/>
      <c r="K434" s="197"/>
      <c r="L434" s="197"/>
      <c r="M434" s="197"/>
      <c r="N434" s="197"/>
      <c r="O434" s="197"/>
      <c r="P434" s="197"/>
      <c r="Q434" s="197"/>
      <c r="R434" s="197"/>
      <c r="S434" s="197"/>
      <c r="T434" s="198"/>
      <c r="U434" s="198"/>
      <c r="V434" s="198"/>
      <c r="W434" s="198"/>
      <c r="X434" s="198"/>
      <c r="Y434" s="198"/>
      <c r="Z434" s="198"/>
      <c r="AA434" s="198"/>
      <c r="AB434" s="198"/>
      <c r="AC434" s="198"/>
      <c r="AD434" s="198"/>
      <c r="AE434" s="198"/>
      <c r="AF434" s="198"/>
      <c r="AG434" s="198"/>
      <c r="AH434" s="198"/>
      <c r="AI434" s="198"/>
      <c r="AJ434" s="198"/>
      <c r="AK434" s="198"/>
      <c r="AL434" s="198"/>
      <c r="AM434" s="198"/>
      <c r="AN434" s="198"/>
      <c r="AO434" s="198"/>
      <c r="AP434" s="198"/>
      <c r="AQ434" s="198"/>
      <c r="AR434" s="198"/>
      <c r="AS434" s="198"/>
      <c r="AT434" s="198"/>
      <c r="AU434" s="198"/>
      <c r="AV434" s="198"/>
      <c r="AW434" s="198"/>
      <c r="AX434" s="198"/>
      <c r="AY434" s="198"/>
      <c r="AZ434" s="198"/>
      <c r="BA434" s="198"/>
      <c r="BB434" s="198"/>
      <c r="BC434" s="198"/>
      <c r="BD434" s="198"/>
      <c r="BE434" s="198"/>
      <c r="BF434" s="198"/>
      <c r="BG434" s="198"/>
      <c r="BH434" s="198"/>
      <c r="BI434" s="198"/>
      <c r="BJ434" s="198"/>
      <c r="BK434" s="198"/>
      <c r="BL434" s="198"/>
      <c r="BM434" s="198"/>
      <c r="BN434" s="198"/>
      <c r="BO434" s="198"/>
      <c r="BP434" s="198"/>
      <c r="BQ434" s="198"/>
      <c r="BR434" s="198"/>
      <c r="BS434" s="198"/>
      <c r="BT434" s="198"/>
      <c r="BU434" s="198"/>
      <c r="BV434" s="198"/>
      <c r="BW434" s="198"/>
      <c r="BX434" s="198"/>
      <c r="BY434" s="198"/>
      <c r="BZ434" s="198"/>
      <c r="CA434" s="198"/>
      <c r="CB434" s="198"/>
      <c r="CC434" s="198"/>
      <c r="CD434" s="198"/>
      <c r="CE434" s="198"/>
      <c r="CF434" s="198"/>
      <c r="CG434" s="198"/>
    </row>
    <row r="435" spans="1:85" s="1" customFormat="1" x14ac:dyDescent="0.25">
      <c r="A435" s="319"/>
      <c r="B435" s="206" t="s">
        <v>8</v>
      </c>
      <c r="C435" s="207"/>
      <c r="D435" s="320"/>
      <c r="E435" s="320"/>
      <c r="F435" s="320"/>
      <c r="G435" s="320"/>
      <c r="H435" s="320"/>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row>
    <row r="436" spans="1:85" s="1" customFormat="1" x14ac:dyDescent="0.25">
      <c r="A436" s="319"/>
      <c r="B436" s="206" t="s">
        <v>9</v>
      </c>
      <c r="C436" s="207"/>
      <c r="D436" s="320"/>
      <c r="E436" s="320"/>
      <c r="F436" s="320"/>
      <c r="G436" s="320"/>
      <c r="H436" s="320"/>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row>
    <row r="437" spans="1:85" s="199" customFormat="1" x14ac:dyDescent="0.25">
      <c r="A437" s="747" t="s">
        <v>149</v>
      </c>
      <c r="B437" s="748"/>
      <c r="C437" s="749"/>
      <c r="D437" s="750"/>
      <c r="E437" s="751"/>
      <c r="F437" s="751"/>
      <c r="G437" s="751"/>
      <c r="H437" s="751"/>
      <c r="I437" s="197"/>
      <c r="J437" s="197"/>
      <c r="K437" s="197"/>
      <c r="L437" s="197"/>
      <c r="M437" s="197"/>
      <c r="N437" s="197"/>
      <c r="O437" s="197"/>
      <c r="P437" s="197"/>
      <c r="Q437" s="197"/>
      <c r="R437" s="197"/>
      <c r="S437" s="197"/>
      <c r="T437" s="198"/>
      <c r="U437" s="198"/>
      <c r="V437" s="198"/>
      <c r="W437" s="198"/>
      <c r="X437" s="198"/>
      <c r="Y437" s="198"/>
      <c r="Z437" s="198"/>
      <c r="AA437" s="198"/>
      <c r="AB437" s="198"/>
      <c r="AC437" s="198"/>
      <c r="AD437" s="198"/>
      <c r="AE437" s="198"/>
      <c r="AF437" s="198"/>
      <c r="AG437" s="198"/>
      <c r="AH437" s="198"/>
      <c r="AI437" s="198"/>
      <c r="AJ437" s="198"/>
      <c r="AK437" s="198"/>
      <c r="AL437" s="198"/>
      <c r="AM437" s="198"/>
      <c r="AN437" s="198"/>
      <c r="AO437" s="198"/>
      <c r="AP437" s="198"/>
      <c r="AQ437" s="198"/>
      <c r="AR437" s="198"/>
      <c r="AS437" s="198"/>
      <c r="AT437" s="198"/>
      <c r="AU437" s="198"/>
      <c r="AV437" s="198"/>
      <c r="AW437" s="198"/>
      <c r="AX437" s="198"/>
      <c r="AY437" s="198"/>
      <c r="AZ437" s="198"/>
      <c r="BA437" s="198"/>
      <c r="BB437" s="198"/>
      <c r="BC437" s="198"/>
      <c r="BD437" s="198"/>
      <c r="BE437" s="198"/>
      <c r="BF437" s="198"/>
      <c r="BG437" s="198"/>
      <c r="BH437" s="198"/>
      <c r="BI437" s="198"/>
      <c r="BJ437" s="198"/>
      <c r="BK437" s="198"/>
      <c r="BL437" s="198"/>
      <c r="BM437" s="198"/>
      <c r="BN437" s="198"/>
      <c r="BO437" s="198"/>
      <c r="BP437" s="198"/>
      <c r="BQ437" s="198"/>
      <c r="BR437" s="198"/>
      <c r="BS437" s="198"/>
      <c r="BT437" s="198"/>
      <c r="BU437" s="198"/>
      <c r="BV437" s="198"/>
      <c r="BW437" s="198"/>
      <c r="BX437" s="198"/>
      <c r="BY437" s="198"/>
      <c r="BZ437" s="198"/>
      <c r="CA437" s="198"/>
      <c r="CB437" s="198"/>
      <c r="CC437" s="198"/>
      <c r="CD437" s="198"/>
      <c r="CE437" s="198"/>
      <c r="CF437" s="198"/>
      <c r="CG437" s="198"/>
    </row>
    <row r="438" spans="1:85" s="199" customFormat="1" x14ac:dyDescent="0.25">
      <c r="A438" s="752"/>
      <c r="B438" s="753" t="s">
        <v>1462</v>
      </c>
      <c r="C438" s="754"/>
      <c r="D438" s="755"/>
      <c r="E438" s="756"/>
      <c r="F438" s="756"/>
      <c r="G438" s="756"/>
      <c r="H438" s="756"/>
      <c r="I438" s="197"/>
      <c r="J438" s="197"/>
      <c r="K438" s="197"/>
      <c r="L438" s="197"/>
      <c r="M438" s="197"/>
      <c r="N438" s="197"/>
      <c r="O438" s="197"/>
      <c r="P438" s="197"/>
      <c r="Q438" s="197"/>
      <c r="R438" s="197"/>
      <c r="S438" s="197"/>
      <c r="T438" s="198"/>
      <c r="U438" s="198"/>
      <c r="V438" s="198"/>
      <c r="W438" s="198"/>
      <c r="X438" s="198"/>
      <c r="Y438" s="198"/>
      <c r="Z438" s="198"/>
      <c r="AA438" s="198"/>
      <c r="AB438" s="198"/>
      <c r="AC438" s="198"/>
      <c r="AD438" s="198"/>
      <c r="AE438" s="198"/>
      <c r="AF438" s="198"/>
      <c r="AG438" s="198"/>
      <c r="AH438" s="198"/>
      <c r="AI438" s="198"/>
      <c r="AJ438" s="198"/>
      <c r="AK438" s="198"/>
      <c r="AL438" s="198"/>
      <c r="AM438" s="198"/>
      <c r="AN438" s="198"/>
      <c r="AO438" s="198"/>
      <c r="AP438" s="198"/>
      <c r="AQ438" s="198"/>
      <c r="AR438" s="198"/>
      <c r="AS438" s="198"/>
      <c r="AT438" s="198"/>
      <c r="AU438" s="198"/>
      <c r="AV438" s="198"/>
      <c r="AW438" s="198"/>
      <c r="AX438" s="198"/>
      <c r="AY438" s="198"/>
      <c r="AZ438" s="198"/>
      <c r="BA438" s="198"/>
      <c r="BB438" s="198"/>
      <c r="BC438" s="198"/>
      <c r="BD438" s="198"/>
      <c r="BE438" s="198"/>
      <c r="BF438" s="198"/>
      <c r="BG438" s="198"/>
      <c r="BH438" s="198"/>
      <c r="BI438" s="198"/>
      <c r="BJ438" s="198"/>
      <c r="BK438" s="198"/>
      <c r="BL438" s="198"/>
      <c r="BM438" s="198"/>
      <c r="BN438" s="198"/>
      <c r="BO438" s="198"/>
      <c r="BP438" s="198"/>
      <c r="BQ438" s="198"/>
      <c r="BR438" s="198"/>
      <c r="BS438" s="198"/>
      <c r="BT438" s="198"/>
      <c r="BU438" s="198"/>
      <c r="BV438" s="198"/>
      <c r="BW438" s="198"/>
      <c r="BX438" s="198"/>
      <c r="BY438" s="198"/>
      <c r="BZ438" s="198"/>
      <c r="CA438" s="198"/>
      <c r="CB438" s="198"/>
      <c r="CC438" s="198"/>
      <c r="CD438" s="198"/>
      <c r="CE438" s="198"/>
      <c r="CF438" s="198"/>
      <c r="CG438" s="198"/>
    </row>
    <row r="439" spans="1:85" s="199" customFormat="1" x14ac:dyDescent="0.25">
      <c r="A439" s="757"/>
      <c r="B439" s="758" t="s">
        <v>1463</v>
      </c>
      <c r="C439" s="759"/>
      <c r="D439" s="760"/>
      <c r="E439" s="761"/>
      <c r="F439" s="761"/>
      <c r="G439" s="761"/>
      <c r="H439" s="761"/>
      <c r="I439" s="197"/>
      <c r="J439" s="197"/>
      <c r="K439" s="197"/>
      <c r="L439" s="197"/>
      <c r="M439" s="197"/>
      <c r="N439" s="197"/>
      <c r="O439" s="197"/>
      <c r="P439" s="197"/>
      <c r="Q439" s="197"/>
      <c r="R439" s="197"/>
      <c r="S439" s="197"/>
      <c r="T439" s="198"/>
      <c r="U439" s="198"/>
      <c r="V439" s="198"/>
      <c r="W439" s="198"/>
      <c r="X439" s="198"/>
      <c r="Y439" s="198"/>
      <c r="Z439" s="198"/>
      <c r="AA439" s="198"/>
      <c r="AB439" s="198"/>
      <c r="AC439" s="198"/>
      <c r="AD439" s="198"/>
      <c r="AE439" s="198"/>
      <c r="AF439" s="198"/>
      <c r="AG439" s="198"/>
      <c r="AH439" s="198"/>
      <c r="AI439" s="198"/>
      <c r="AJ439" s="198"/>
      <c r="AK439" s="198"/>
      <c r="AL439" s="198"/>
      <c r="AM439" s="198"/>
      <c r="AN439" s="198"/>
      <c r="AO439" s="198"/>
      <c r="AP439" s="198"/>
      <c r="AQ439" s="198"/>
      <c r="AR439" s="198"/>
      <c r="AS439" s="198"/>
      <c r="AT439" s="198"/>
      <c r="AU439" s="198"/>
      <c r="AV439" s="198"/>
      <c r="AW439" s="198"/>
      <c r="AX439" s="198"/>
      <c r="AY439" s="198"/>
      <c r="AZ439" s="198"/>
      <c r="BA439" s="198"/>
      <c r="BB439" s="198"/>
      <c r="BC439" s="198"/>
      <c r="BD439" s="198"/>
      <c r="BE439" s="198"/>
      <c r="BF439" s="198"/>
      <c r="BG439" s="198"/>
      <c r="BH439" s="198"/>
      <c r="BI439" s="198"/>
      <c r="BJ439" s="198"/>
      <c r="BK439" s="198"/>
      <c r="BL439" s="198"/>
      <c r="BM439" s="198"/>
      <c r="BN439" s="198"/>
      <c r="BO439" s="198"/>
      <c r="BP439" s="198"/>
      <c r="BQ439" s="198"/>
      <c r="BR439" s="198"/>
      <c r="BS439" s="198"/>
      <c r="BT439" s="198"/>
      <c r="BU439" s="198"/>
      <c r="BV439" s="198"/>
      <c r="BW439" s="198"/>
      <c r="BX439" s="198"/>
      <c r="BY439" s="198"/>
      <c r="BZ439" s="198"/>
      <c r="CA439" s="198"/>
      <c r="CB439" s="198"/>
      <c r="CC439" s="198"/>
      <c r="CD439" s="198"/>
      <c r="CE439" s="198"/>
      <c r="CF439" s="198"/>
      <c r="CG439" s="198"/>
    </row>
    <row r="440" spans="1:85" s="199" customFormat="1" x14ac:dyDescent="0.25">
      <c r="A440" s="189" t="s">
        <v>24</v>
      </c>
      <c r="B440" s="157"/>
      <c r="C440" s="158"/>
      <c r="D440" s="762"/>
      <c r="E440" s="159"/>
      <c r="F440" s="762"/>
      <c r="G440" s="762"/>
      <c r="H440" s="762"/>
      <c r="I440" s="197"/>
      <c r="J440" s="197"/>
      <c r="K440" s="197"/>
      <c r="L440" s="197"/>
      <c r="M440" s="197"/>
      <c r="N440" s="197"/>
      <c r="O440" s="197"/>
      <c r="P440" s="197"/>
      <c r="Q440" s="197"/>
      <c r="R440" s="197"/>
      <c r="S440" s="197"/>
      <c r="T440" s="198"/>
      <c r="U440" s="198"/>
      <c r="V440" s="198"/>
      <c r="W440" s="198"/>
      <c r="X440" s="198"/>
      <c r="Y440" s="198"/>
      <c r="Z440" s="198"/>
      <c r="AA440" s="198"/>
      <c r="AB440" s="198"/>
      <c r="AC440" s="198"/>
      <c r="AD440" s="198"/>
      <c r="AE440" s="198"/>
      <c r="AF440" s="198"/>
      <c r="AG440" s="198"/>
      <c r="AH440" s="198"/>
      <c r="AI440" s="198"/>
      <c r="AJ440" s="198"/>
      <c r="AK440" s="198"/>
      <c r="AL440" s="198"/>
      <c r="AM440" s="198"/>
      <c r="AN440" s="198"/>
      <c r="AO440" s="198"/>
      <c r="AP440" s="198"/>
      <c r="AQ440" s="198"/>
      <c r="AR440" s="198"/>
      <c r="AS440" s="198"/>
      <c r="AT440" s="198"/>
      <c r="AU440" s="198"/>
      <c r="AV440" s="198"/>
      <c r="AW440" s="198"/>
      <c r="AX440" s="198"/>
      <c r="AY440" s="198"/>
      <c r="AZ440" s="198"/>
      <c r="BA440" s="198"/>
      <c r="BB440" s="198"/>
      <c r="BC440" s="198"/>
      <c r="BD440" s="198"/>
      <c r="BE440" s="198"/>
      <c r="BF440" s="198"/>
      <c r="BG440" s="198"/>
      <c r="BH440" s="198"/>
      <c r="BI440" s="198"/>
      <c r="BJ440" s="198"/>
      <c r="BK440" s="198"/>
      <c r="BL440" s="198"/>
      <c r="BM440" s="198"/>
      <c r="BN440" s="198"/>
      <c r="BO440" s="198"/>
      <c r="BP440" s="198"/>
      <c r="BQ440" s="198"/>
      <c r="BR440" s="198"/>
      <c r="BS440" s="198"/>
      <c r="BT440" s="198"/>
      <c r="BU440" s="198"/>
      <c r="BV440" s="198"/>
      <c r="BW440" s="198"/>
      <c r="BX440" s="198"/>
      <c r="BY440" s="198"/>
      <c r="BZ440" s="198"/>
      <c r="CA440" s="198"/>
      <c r="CB440" s="198"/>
      <c r="CC440" s="198"/>
      <c r="CD440" s="198"/>
      <c r="CE440" s="198"/>
      <c r="CF440" s="198"/>
      <c r="CG440" s="198"/>
    </row>
    <row r="441" spans="1:85" s="199" customFormat="1" x14ac:dyDescent="0.25">
      <c r="A441" s="189"/>
      <c r="B441" s="157"/>
      <c r="C441" s="158"/>
      <c r="D441" s="762"/>
      <c r="E441" s="762"/>
      <c r="F441" s="762"/>
      <c r="G441" s="762"/>
      <c r="H441" s="762"/>
      <c r="I441" s="197"/>
      <c r="J441" s="197"/>
      <c r="K441" s="197"/>
      <c r="L441" s="197"/>
      <c r="M441" s="197"/>
      <c r="N441" s="197"/>
      <c r="O441" s="197"/>
      <c r="P441" s="197"/>
      <c r="Q441" s="197"/>
      <c r="R441" s="197"/>
      <c r="S441" s="197"/>
      <c r="T441" s="198"/>
      <c r="U441" s="198"/>
      <c r="V441" s="198"/>
      <c r="W441" s="198"/>
      <c r="X441" s="198"/>
      <c r="Y441" s="198"/>
      <c r="Z441" s="198"/>
      <c r="AA441" s="198"/>
      <c r="AB441" s="198"/>
      <c r="AC441" s="198"/>
      <c r="AD441" s="198"/>
      <c r="AE441" s="198"/>
      <c r="AF441" s="198"/>
      <c r="AG441" s="198"/>
      <c r="AH441" s="198"/>
      <c r="AI441" s="198"/>
      <c r="AJ441" s="198"/>
      <c r="AK441" s="198"/>
      <c r="AL441" s="198"/>
      <c r="AM441" s="198"/>
      <c r="AN441" s="198"/>
      <c r="AO441" s="198"/>
      <c r="AP441" s="198"/>
      <c r="AQ441" s="198"/>
      <c r="AR441" s="198"/>
      <c r="AS441" s="198"/>
      <c r="AT441" s="198"/>
      <c r="AU441" s="198"/>
      <c r="AV441" s="198"/>
      <c r="AW441" s="198"/>
      <c r="AX441" s="198"/>
      <c r="AY441" s="198"/>
      <c r="AZ441" s="198"/>
      <c r="BA441" s="198"/>
      <c r="BB441" s="198"/>
      <c r="BC441" s="198"/>
      <c r="BD441" s="198"/>
      <c r="BE441" s="198"/>
      <c r="BF441" s="198"/>
      <c r="BG441" s="198"/>
      <c r="BH441" s="198"/>
      <c r="BI441" s="198"/>
      <c r="BJ441" s="198"/>
      <c r="BK441" s="198"/>
      <c r="BL441" s="198"/>
      <c r="BM441" s="198"/>
      <c r="BN441" s="198"/>
      <c r="BO441" s="198"/>
      <c r="BP441" s="198"/>
      <c r="BQ441" s="198"/>
      <c r="BR441" s="198"/>
      <c r="BS441" s="198"/>
      <c r="BT441" s="198"/>
      <c r="BU441" s="198"/>
      <c r="BV441" s="198"/>
      <c r="BW441" s="198"/>
      <c r="BX441" s="198"/>
      <c r="BY441" s="198"/>
      <c r="BZ441" s="198"/>
      <c r="CA441" s="198"/>
      <c r="CB441" s="198"/>
      <c r="CC441" s="198"/>
      <c r="CD441" s="198"/>
      <c r="CE441" s="198"/>
      <c r="CF441" s="198"/>
      <c r="CG441" s="198"/>
    </row>
    <row r="442" spans="1:85" s="199" customFormat="1" x14ac:dyDescent="0.25">
      <c r="A442" s="189"/>
      <c r="B442" s="157"/>
      <c r="C442" s="158"/>
      <c r="D442" s="762"/>
      <c r="E442" s="762"/>
      <c r="F442" s="762"/>
      <c r="G442" s="762"/>
      <c r="H442" s="762"/>
      <c r="I442" s="197"/>
      <c r="J442" s="197"/>
      <c r="K442" s="197"/>
      <c r="L442" s="197"/>
      <c r="M442" s="197"/>
      <c r="N442" s="197"/>
      <c r="O442" s="197"/>
      <c r="P442" s="197"/>
      <c r="Q442" s="197"/>
      <c r="R442" s="197"/>
      <c r="S442" s="197"/>
      <c r="T442" s="198"/>
      <c r="U442" s="198"/>
      <c r="V442" s="198"/>
      <c r="W442" s="198"/>
      <c r="X442" s="198"/>
      <c r="Y442" s="198"/>
      <c r="Z442" s="198"/>
      <c r="AA442" s="198"/>
      <c r="AB442" s="198"/>
      <c r="AC442" s="198"/>
      <c r="AD442" s="198"/>
      <c r="AE442" s="198"/>
      <c r="AF442" s="198"/>
      <c r="AG442" s="198"/>
      <c r="AH442" s="198"/>
      <c r="AI442" s="198"/>
      <c r="AJ442" s="198"/>
      <c r="AK442" s="198"/>
      <c r="AL442" s="198"/>
      <c r="AM442" s="198"/>
      <c r="AN442" s="198"/>
      <c r="AO442" s="198"/>
      <c r="AP442" s="198"/>
      <c r="AQ442" s="198"/>
      <c r="AR442" s="198"/>
      <c r="AS442" s="198"/>
      <c r="AT442" s="198"/>
      <c r="AU442" s="198"/>
      <c r="AV442" s="198"/>
      <c r="AW442" s="198"/>
      <c r="AX442" s="198"/>
      <c r="AY442" s="198"/>
      <c r="AZ442" s="198"/>
      <c r="BA442" s="198"/>
      <c r="BB442" s="198"/>
      <c r="BC442" s="198"/>
      <c r="BD442" s="198"/>
      <c r="BE442" s="198"/>
      <c r="BF442" s="198"/>
      <c r="BG442" s="198"/>
      <c r="BH442" s="198"/>
      <c r="BI442" s="198"/>
      <c r="BJ442" s="198"/>
      <c r="BK442" s="198"/>
      <c r="BL442" s="198"/>
      <c r="BM442" s="198"/>
      <c r="BN442" s="198"/>
      <c r="BO442" s="198"/>
      <c r="BP442" s="198"/>
      <c r="BQ442" s="198"/>
      <c r="BR442" s="198"/>
      <c r="BS442" s="198"/>
      <c r="BT442" s="198"/>
      <c r="BU442" s="198"/>
      <c r="BV442" s="198"/>
      <c r="BW442" s="198"/>
      <c r="BX442" s="198"/>
      <c r="BY442" s="198"/>
      <c r="BZ442" s="198"/>
      <c r="CA442" s="198"/>
      <c r="CB442" s="198"/>
      <c r="CC442" s="198"/>
      <c r="CD442" s="198"/>
      <c r="CE442" s="198"/>
      <c r="CF442" s="198"/>
      <c r="CG442" s="198"/>
    </row>
    <row r="443" spans="1:85" s="199" customFormat="1" x14ac:dyDescent="0.25">
      <c r="A443" s="189"/>
      <c r="B443" s="157"/>
      <c r="C443" s="158"/>
      <c r="D443" s="762"/>
      <c r="E443" s="762"/>
      <c r="F443" s="762"/>
      <c r="G443" s="762"/>
      <c r="H443" s="762"/>
      <c r="I443" s="197"/>
      <c r="J443" s="197"/>
      <c r="K443" s="197"/>
      <c r="L443" s="197"/>
      <c r="M443" s="197"/>
      <c r="N443" s="197"/>
      <c r="O443" s="197"/>
      <c r="P443" s="197"/>
      <c r="Q443" s="197"/>
      <c r="R443" s="197"/>
      <c r="S443" s="197"/>
      <c r="T443" s="198"/>
      <c r="U443" s="198"/>
      <c r="V443" s="198"/>
      <c r="W443" s="198"/>
      <c r="X443" s="198"/>
      <c r="Y443" s="198"/>
      <c r="Z443" s="198"/>
      <c r="AA443" s="198"/>
      <c r="AB443" s="198"/>
      <c r="AC443" s="198"/>
      <c r="AD443" s="198"/>
      <c r="AE443" s="198"/>
      <c r="AF443" s="198"/>
      <c r="AG443" s="198"/>
      <c r="AH443" s="198"/>
      <c r="AI443" s="198"/>
      <c r="AJ443" s="198"/>
      <c r="AK443" s="198"/>
      <c r="AL443" s="198"/>
      <c r="AM443" s="198"/>
      <c r="AN443" s="198"/>
      <c r="AO443" s="198"/>
      <c r="AP443" s="198"/>
      <c r="AQ443" s="198"/>
      <c r="AR443" s="198"/>
      <c r="AS443" s="198"/>
      <c r="AT443" s="198"/>
      <c r="AU443" s="198"/>
      <c r="AV443" s="198"/>
      <c r="AW443" s="198"/>
      <c r="AX443" s="198"/>
      <c r="AY443" s="198"/>
      <c r="AZ443" s="198"/>
      <c r="BA443" s="198"/>
      <c r="BB443" s="198"/>
      <c r="BC443" s="198"/>
      <c r="BD443" s="198"/>
      <c r="BE443" s="198"/>
      <c r="BF443" s="198"/>
      <c r="BG443" s="198"/>
      <c r="BH443" s="198"/>
      <c r="BI443" s="198"/>
      <c r="BJ443" s="198"/>
      <c r="BK443" s="198"/>
      <c r="BL443" s="198"/>
      <c r="BM443" s="198"/>
      <c r="BN443" s="198"/>
      <c r="BO443" s="198"/>
      <c r="BP443" s="198"/>
      <c r="BQ443" s="198"/>
      <c r="BR443" s="198"/>
      <c r="BS443" s="198"/>
      <c r="BT443" s="198"/>
      <c r="BU443" s="198"/>
      <c r="BV443" s="198"/>
      <c r="BW443" s="198"/>
      <c r="BX443" s="198"/>
      <c r="BY443" s="198"/>
      <c r="BZ443" s="198"/>
      <c r="CA443" s="198"/>
      <c r="CB443" s="198"/>
      <c r="CC443" s="198"/>
      <c r="CD443" s="198"/>
      <c r="CE443" s="198"/>
      <c r="CF443" s="198"/>
      <c r="CG443" s="198"/>
    </row>
    <row r="444" spans="1:85" s="199" customFormat="1" x14ac:dyDescent="0.25">
      <c r="A444" s="252"/>
      <c r="B444" s="253"/>
      <c r="C444" s="257"/>
      <c r="D444" s="254"/>
      <c r="E444" s="254"/>
      <c r="F444" s="254"/>
      <c r="G444" s="254"/>
      <c r="H444" s="254"/>
      <c r="I444" s="197"/>
      <c r="J444" s="197"/>
      <c r="K444" s="197"/>
      <c r="L444" s="197"/>
      <c r="M444" s="197"/>
      <c r="N444" s="197"/>
      <c r="O444" s="197"/>
      <c r="P444" s="197"/>
      <c r="Q444" s="197"/>
      <c r="R444" s="197"/>
      <c r="S444" s="197"/>
      <c r="T444" s="198"/>
      <c r="U444" s="198"/>
      <c r="V444" s="198"/>
      <c r="W444" s="198"/>
      <c r="X444" s="198"/>
      <c r="Y444" s="198"/>
      <c r="Z444" s="198"/>
      <c r="AA444" s="198"/>
      <c r="AB444" s="198"/>
      <c r="AC444" s="198"/>
      <c r="AD444" s="198"/>
      <c r="AE444" s="198"/>
      <c r="AF444" s="198"/>
      <c r="AG444" s="198"/>
      <c r="AH444" s="198"/>
      <c r="AI444" s="198"/>
      <c r="AJ444" s="198"/>
      <c r="AK444" s="198"/>
      <c r="AL444" s="198"/>
      <c r="AM444" s="198"/>
      <c r="AN444" s="198"/>
      <c r="AO444" s="198"/>
      <c r="AP444" s="198"/>
      <c r="AQ444" s="198"/>
      <c r="AR444" s="198"/>
      <c r="AS444" s="198"/>
      <c r="AT444" s="198"/>
      <c r="AU444" s="198"/>
      <c r="AV444" s="198"/>
      <c r="AW444" s="198"/>
      <c r="AX444" s="198"/>
      <c r="AY444" s="198"/>
      <c r="AZ444" s="198"/>
      <c r="BA444" s="198"/>
      <c r="BB444" s="198"/>
      <c r="BC444" s="198"/>
      <c r="BD444" s="198"/>
      <c r="BE444" s="198"/>
      <c r="BF444" s="198"/>
      <c r="BG444" s="198"/>
      <c r="BH444" s="198"/>
      <c r="BI444" s="198"/>
      <c r="BJ444" s="198"/>
      <c r="BK444" s="198"/>
      <c r="BL444" s="198"/>
      <c r="BM444" s="198"/>
      <c r="BN444" s="198"/>
      <c r="BO444" s="198"/>
      <c r="BP444" s="198"/>
      <c r="BQ444" s="198"/>
      <c r="BR444" s="198"/>
      <c r="BS444" s="198"/>
      <c r="BT444" s="198"/>
      <c r="BU444" s="198"/>
      <c r="BV444" s="198"/>
      <c r="BW444" s="198"/>
      <c r="BX444" s="198"/>
      <c r="BY444" s="198"/>
      <c r="BZ444" s="198"/>
      <c r="CA444" s="198"/>
      <c r="CB444" s="198"/>
      <c r="CC444" s="198"/>
      <c r="CD444" s="198"/>
      <c r="CE444" s="198"/>
      <c r="CF444" s="198"/>
      <c r="CG444" s="198"/>
    </row>
    <row r="445" spans="1:85" s="199" customFormat="1" ht="15.6" x14ac:dyDescent="0.3">
      <c r="A445" s="149"/>
      <c r="B445" s="239" t="s">
        <v>160</v>
      </c>
      <c r="C445" s="608"/>
      <c r="D445" s="608"/>
      <c r="E445" s="608"/>
      <c r="F445" s="608"/>
      <c r="G445" s="608"/>
      <c r="H445" s="608"/>
      <c r="I445" s="197"/>
      <c r="J445" s="197"/>
      <c r="K445" s="197"/>
      <c r="L445" s="197"/>
      <c r="M445" s="197"/>
      <c r="N445" s="197"/>
      <c r="O445" s="197"/>
      <c r="P445" s="197"/>
      <c r="Q445" s="197"/>
      <c r="R445" s="197"/>
      <c r="S445" s="197"/>
      <c r="T445" s="198"/>
      <c r="U445" s="198"/>
      <c r="V445" s="198"/>
      <c r="W445" s="198"/>
      <c r="X445" s="198"/>
      <c r="Y445" s="198"/>
      <c r="Z445" s="198"/>
      <c r="AA445" s="198"/>
      <c r="AB445" s="198"/>
      <c r="AC445" s="198"/>
      <c r="AD445" s="198"/>
      <c r="AE445" s="198"/>
      <c r="AF445" s="198"/>
      <c r="AG445" s="198"/>
      <c r="AH445" s="198"/>
      <c r="AI445" s="198"/>
      <c r="AJ445" s="198"/>
      <c r="AK445" s="198"/>
      <c r="AL445" s="198"/>
      <c r="AM445" s="198"/>
      <c r="AN445" s="198"/>
      <c r="AO445" s="198"/>
      <c r="AP445" s="198"/>
      <c r="AQ445" s="198"/>
      <c r="AR445" s="198"/>
      <c r="AS445" s="198"/>
      <c r="AT445" s="198"/>
      <c r="AU445" s="198"/>
      <c r="AV445" s="198"/>
      <c r="AW445" s="198"/>
      <c r="AX445" s="198"/>
      <c r="AY445" s="198"/>
      <c r="AZ445" s="198"/>
      <c r="BA445" s="198"/>
      <c r="BB445" s="198"/>
      <c r="BC445" s="198"/>
      <c r="BD445" s="198"/>
      <c r="BE445" s="198"/>
      <c r="BF445" s="198"/>
      <c r="BG445" s="198"/>
      <c r="BH445" s="198"/>
      <c r="BI445" s="198"/>
      <c r="BJ445" s="198"/>
      <c r="BK445" s="198"/>
      <c r="BL445" s="198"/>
      <c r="BM445" s="198"/>
      <c r="BN445" s="198"/>
      <c r="BO445" s="198"/>
      <c r="BP445" s="198"/>
      <c r="BQ445" s="198"/>
      <c r="BR445" s="198"/>
      <c r="BS445" s="198"/>
      <c r="BT445" s="198"/>
      <c r="BU445" s="198"/>
      <c r="BV445" s="198"/>
      <c r="BW445" s="198"/>
      <c r="BX445" s="198"/>
      <c r="BY445" s="198"/>
      <c r="BZ445" s="198"/>
      <c r="CA445" s="198"/>
      <c r="CB445" s="198"/>
      <c r="CC445" s="198"/>
      <c r="CD445" s="198"/>
      <c r="CE445" s="198"/>
      <c r="CF445" s="198"/>
      <c r="CG445" s="198"/>
    </row>
    <row r="446" spans="1:85" s="199" customFormat="1" ht="15" customHeight="1" x14ac:dyDescent="0.3">
      <c r="A446" s="282" t="s">
        <v>345</v>
      </c>
      <c r="B446" s="283"/>
      <c r="C446" s="150" t="s">
        <v>38</v>
      </c>
      <c r="D446" s="240"/>
      <c r="E446" s="240"/>
      <c r="F446" s="240"/>
      <c r="G446" s="240"/>
      <c r="H446" s="240"/>
      <c r="I446" s="197"/>
      <c r="J446" s="197"/>
      <c r="K446" s="197"/>
      <c r="L446" s="197"/>
      <c r="M446" s="197"/>
      <c r="N446" s="197"/>
      <c r="O446" s="197"/>
      <c r="P446" s="197"/>
      <c r="Q446" s="197"/>
      <c r="R446" s="197"/>
      <c r="S446" s="197"/>
      <c r="T446" s="198"/>
      <c r="U446" s="198"/>
      <c r="V446" s="198"/>
      <c r="W446" s="198"/>
      <c r="X446" s="198"/>
      <c r="Y446" s="198"/>
      <c r="Z446" s="198"/>
      <c r="AA446" s="198"/>
      <c r="AB446" s="198"/>
      <c r="AC446" s="198"/>
      <c r="AD446" s="198"/>
      <c r="AE446" s="198"/>
      <c r="AF446" s="198"/>
      <c r="AG446" s="198"/>
      <c r="AH446" s="198"/>
      <c r="AI446" s="198"/>
      <c r="AJ446" s="198"/>
      <c r="AK446" s="198"/>
      <c r="AL446" s="198"/>
      <c r="AM446" s="198"/>
      <c r="AN446" s="198"/>
      <c r="AO446" s="198"/>
      <c r="AP446" s="198"/>
      <c r="AQ446" s="198"/>
      <c r="AR446" s="198"/>
      <c r="AS446" s="198"/>
      <c r="AT446" s="198"/>
      <c r="AU446" s="198"/>
      <c r="AV446" s="198"/>
      <c r="AW446" s="198"/>
      <c r="AX446" s="198"/>
      <c r="AY446" s="198"/>
      <c r="AZ446" s="198"/>
      <c r="BA446" s="198"/>
      <c r="BB446" s="198"/>
      <c r="BC446" s="198"/>
      <c r="BD446" s="198"/>
      <c r="BE446" s="198"/>
      <c r="BF446" s="198"/>
      <c r="BG446" s="198"/>
      <c r="BH446" s="198"/>
      <c r="BI446" s="198"/>
      <c r="BJ446" s="198"/>
      <c r="BK446" s="198"/>
      <c r="BL446" s="198"/>
      <c r="BM446" s="198"/>
      <c r="BN446" s="198"/>
      <c r="BO446" s="198"/>
      <c r="BP446" s="198"/>
      <c r="BQ446" s="198"/>
      <c r="BR446" s="198"/>
      <c r="BS446" s="198"/>
      <c r="BT446" s="198"/>
      <c r="BU446" s="198"/>
      <c r="BV446" s="198"/>
      <c r="BW446" s="198"/>
      <c r="BX446" s="198"/>
      <c r="BY446" s="198"/>
      <c r="BZ446" s="198"/>
      <c r="CA446" s="198"/>
      <c r="CB446" s="198"/>
      <c r="CC446" s="198"/>
      <c r="CD446" s="198"/>
      <c r="CE446" s="198"/>
      <c r="CF446" s="198"/>
      <c r="CG446" s="198"/>
    </row>
    <row r="447" spans="1:85" s="199" customFormat="1" x14ac:dyDescent="0.25">
      <c r="A447" s="876" t="s">
        <v>375</v>
      </c>
      <c r="B447" s="152"/>
      <c r="C447" s="153"/>
      <c r="D447" s="154"/>
      <c r="E447" s="154"/>
      <c r="F447" s="154"/>
      <c r="G447" s="154"/>
      <c r="H447" s="155"/>
      <c r="I447" s="197"/>
      <c r="J447" s="197"/>
      <c r="K447" s="197"/>
      <c r="L447" s="197"/>
      <c r="M447" s="197"/>
      <c r="N447" s="197"/>
      <c r="O447" s="197"/>
      <c r="P447" s="197"/>
      <c r="Q447" s="197"/>
      <c r="R447" s="197"/>
      <c r="S447" s="197"/>
      <c r="T447" s="198"/>
      <c r="U447" s="198"/>
      <c r="V447" s="198"/>
      <c r="W447" s="198"/>
      <c r="X447" s="198"/>
      <c r="Y447" s="198"/>
      <c r="Z447" s="198"/>
      <c r="AA447" s="198"/>
      <c r="AB447" s="198"/>
      <c r="AC447" s="198"/>
      <c r="AD447" s="198"/>
      <c r="AE447" s="198"/>
      <c r="AF447" s="198"/>
      <c r="AG447" s="198"/>
      <c r="AH447" s="198"/>
      <c r="AI447" s="198"/>
      <c r="AJ447" s="198"/>
      <c r="AK447" s="198"/>
      <c r="AL447" s="198"/>
      <c r="AM447" s="198"/>
      <c r="AN447" s="198"/>
      <c r="AO447" s="198"/>
      <c r="AP447" s="198"/>
      <c r="AQ447" s="198"/>
      <c r="AR447" s="198"/>
      <c r="AS447" s="198"/>
      <c r="AT447" s="198"/>
      <c r="AU447" s="198"/>
      <c r="AV447" s="198"/>
      <c r="AW447" s="198"/>
      <c r="AX447" s="198"/>
      <c r="AY447" s="198"/>
      <c r="AZ447" s="198"/>
      <c r="BA447" s="198"/>
      <c r="BB447" s="198"/>
      <c r="BC447" s="198"/>
      <c r="BD447" s="198"/>
      <c r="BE447" s="198"/>
      <c r="BF447" s="198"/>
      <c r="BG447" s="198"/>
      <c r="BH447" s="198"/>
      <c r="BI447" s="198"/>
      <c r="BJ447" s="198"/>
      <c r="BK447" s="198"/>
      <c r="BL447" s="198"/>
      <c r="BM447" s="198"/>
      <c r="BN447" s="198"/>
      <c r="BO447" s="198"/>
      <c r="BP447" s="198"/>
      <c r="BQ447" s="198"/>
      <c r="BR447" s="198"/>
      <c r="BS447" s="198"/>
      <c r="BT447" s="198"/>
      <c r="BU447" s="198"/>
      <c r="BV447" s="198"/>
      <c r="BW447" s="198"/>
      <c r="BX447" s="198"/>
      <c r="BY447" s="198"/>
      <c r="BZ447" s="198"/>
      <c r="CA447" s="198"/>
      <c r="CB447" s="198"/>
      <c r="CC447" s="198"/>
      <c r="CD447" s="198"/>
      <c r="CE447" s="198"/>
      <c r="CF447" s="198"/>
      <c r="CG447" s="198"/>
    </row>
    <row r="448" spans="1:85" s="199" customFormat="1" x14ac:dyDescent="0.25">
      <c r="A448" s="156" t="s">
        <v>1</v>
      </c>
      <c r="B448" s="157"/>
      <c r="C448" s="158"/>
      <c r="D448" s="159"/>
      <c r="E448" s="159"/>
      <c r="F448" s="159"/>
      <c r="G448" s="159"/>
      <c r="H448" s="160"/>
      <c r="I448" s="197"/>
      <c r="J448" s="197"/>
      <c r="K448" s="197"/>
      <c r="L448" s="197"/>
      <c r="M448" s="197"/>
      <c r="N448" s="197"/>
      <c r="O448" s="197"/>
      <c r="P448" s="197"/>
      <c r="Q448" s="197"/>
      <c r="R448" s="197"/>
      <c r="S448" s="197"/>
      <c r="T448" s="198"/>
      <c r="U448" s="198"/>
      <c r="V448" s="198"/>
      <c r="W448" s="198"/>
      <c r="X448" s="198"/>
      <c r="Y448" s="198"/>
      <c r="Z448" s="198"/>
      <c r="AA448" s="198"/>
      <c r="AB448" s="198"/>
      <c r="AC448" s="198"/>
      <c r="AD448" s="198"/>
      <c r="AE448" s="198"/>
      <c r="AF448" s="198"/>
      <c r="AG448" s="198"/>
      <c r="AH448" s="198"/>
      <c r="AI448" s="198"/>
      <c r="AJ448" s="198"/>
      <c r="AK448" s="198"/>
      <c r="AL448" s="198"/>
      <c r="AM448" s="198"/>
      <c r="AN448" s="198"/>
      <c r="AO448" s="198"/>
      <c r="AP448" s="198"/>
      <c r="AQ448" s="198"/>
      <c r="AR448" s="198"/>
      <c r="AS448" s="198"/>
      <c r="AT448" s="198"/>
      <c r="AU448" s="198"/>
      <c r="AV448" s="198"/>
      <c r="AW448" s="198"/>
      <c r="AX448" s="198"/>
      <c r="AY448" s="198"/>
      <c r="AZ448" s="198"/>
      <c r="BA448" s="198"/>
      <c r="BB448" s="198"/>
      <c r="BC448" s="198"/>
      <c r="BD448" s="198"/>
      <c r="BE448" s="198"/>
      <c r="BF448" s="198"/>
      <c r="BG448" s="198"/>
      <c r="BH448" s="198"/>
      <c r="BI448" s="198"/>
      <c r="BJ448" s="198"/>
      <c r="BK448" s="198"/>
      <c r="BL448" s="198"/>
      <c r="BM448" s="198"/>
      <c r="BN448" s="198"/>
      <c r="BO448" s="198"/>
      <c r="BP448" s="198"/>
      <c r="BQ448" s="198"/>
      <c r="BR448" s="198"/>
      <c r="BS448" s="198"/>
      <c r="BT448" s="198"/>
      <c r="BU448" s="198"/>
      <c r="BV448" s="198"/>
      <c r="BW448" s="198"/>
      <c r="BX448" s="198"/>
      <c r="BY448" s="198"/>
      <c r="BZ448" s="198"/>
      <c r="CA448" s="198"/>
      <c r="CB448" s="198"/>
      <c r="CC448" s="198"/>
      <c r="CD448" s="198"/>
      <c r="CE448" s="198"/>
      <c r="CF448" s="198"/>
      <c r="CG448" s="198"/>
    </row>
    <row r="449" spans="1:85" s="199" customFormat="1" x14ac:dyDescent="0.25">
      <c r="A449" s="156" t="s">
        <v>2</v>
      </c>
      <c r="B449" s="157"/>
      <c r="C449" s="158"/>
      <c r="D449" s="159"/>
      <c r="E449" s="159"/>
      <c r="F449" s="159"/>
      <c r="G449" s="159"/>
      <c r="H449" s="160"/>
      <c r="I449" s="197"/>
      <c r="J449" s="197"/>
      <c r="K449" s="197"/>
      <c r="L449" s="197"/>
      <c r="M449" s="197"/>
      <c r="N449" s="197"/>
      <c r="O449" s="197"/>
      <c r="P449" s="197"/>
      <c r="Q449" s="197"/>
      <c r="R449" s="197"/>
      <c r="S449" s="197"/>
      <c r="T449" s="198"/>
      <c r="U449" s="198"/>
      <c r="V449" s="198"/>
      <c r="W449" s="198"/>
      <c r="X449" s="198"/>
      <c r="Y449" s="198"/>
      <c r="Z449" s="198"/>
      <c r="AA449" s="198"/>
      <c r="AB449" s="198"/>
      <c r="AC449" s="198"/>
      <c r="AD449" s="198"/>
      <c r="AE449" s="198"/>
      <c r="AF449" s="198"/>
      <c r="AG449" s="198"/>
      <c r="AH449" s="198"/>
      <c r="AI449" s="198"/>
      <c r="AJ449" s="198"/>
      <c r="AK449" s="198"/>
      <c r="AL449" s="198"/>
      <c r="AM449" s="198"/>
      <c r="AN449" s="198"/>
      <c r="AO449" s="198"/>
      <c r="AP449" s="198"/>
      <c r="AQ449" s="198"/>
      <c r="AR449" s="198"/>
      <c r="AS449" s="198"/>
      <c r="AT449" s="198"/>
      <c r="AU449" s="198"/>
      <c r="AV449" s="198"/>
      <c r="AW449" s="198"/>
      <c r="AX449" s="198"/>
      <c r="AY449" s="198"/>
      <c r="AZ449" s="198"/>
      <c r="BA449" s="198"/>
      <c r="BB449" s="198"/>
      <c r="BC449" s="198"/>
      <c r="BD449" s="198"/>
      <c r="BE449" s="198"/>
      <c r="BF449" s="198"/>
      <c r="BG449" s="198"/>
      <c r="BH449" s="198"/>
      <c r="BI449" s="198"/>
      <c r="BJ449" s="198"/>
      <c r="BK449" s="198"/>
      <c r="BL449" s="198"/>
      <c r="BM449" s="198"/>
      <c r="BN449" s="198"/>
      <c r="BO449" s="198"/>
      <c r="BP449" s="198"/>
      <c r="BQ449" s="198"/>
      <c r="BR449" s="198"/>
      <c r="BS449" s="198"/>
      <c r="BT449" s="198"/>
      <c r="BU449" s="198"/>
      <c r="BV449" s="198"/>
      <c r="BW449" s="198"/>
      <c r="BX449" s="198"/>
      <c r="BY449" s="198"/>
      <c r="BZ449" s="198"/>
      <c r="CA449" s="198"/>
      <c r="CB449" s="198"/>
      <c r="CC449" s="198"/>
      <c r="CD449" s="198"/>
      <c r="CE449" s="198"/>
      <c r="CF449" s="198"/>
      <c r="CG449" s="198"/>
    </row>
    <row r="450" spans="1:85" s="199" customFormat="1" ht="15.6" x14ac:dyDescent="0.25">
      <c r="A450" s="161"/>
      <c r="B450" s="162"/>
      <c r="C450" s="163"/>
      <c r="D450" s="164"/>
      <c r="E450" s="164"/>
      <c r="F450" s="164"/>
      <c r="G450" s="164"/>
      <c r="H450" s="165"/>
      <c r="I450" s="197"/>
      <c r="J450" s="197"/>
      <c r="K450" s="197"/>
      <c r="L450" s="197"/>
      <c r="M450" s="197"/>
      <c r="N450" s="197"/>
      <c r="O450" s="197"/>
      <c r="P450" s="197"/>
      <c r="Q450" s="197"/>
      <c r="R450" s="197"/>
      <c r="S450" s="197"/>
      <c r="T450" s="198"/>
      <c r="U450" s="198"/>
      <c r="V450" s="198"/>
      <c r="W450" s="198"/>
      <c r="X450" s="198"/>
      <c r="Y450" s="198"/>
      <c r="Z450" s="198"/>
      <c r="AA450" s="198"/>
      <c r="AB450" s="198"/>
      <c r="AC450" s="198"/>
      <c r="AD450" s="198"/>
      <c r="AE450" s="198"/>
      <c r="AF450" s="198"/>
      <c r="AG450" s="198"/>
      <c r="AH450" s="198"/>
      <c r="AI450" s="198"/>
      <c r="AJ450" s="198"/>
      <c r="AK450" s="198"/>
      <c r="AL450" s="198"/>
      <c r="AM450" s="198"/>
      <c r="AN450" s="198"/>
      <c r="AO450" s="198"/>
      <c r="AP450" s="198"/>
      <c r="AQ450" s="198"/>
      <c r="AR450" s="198"/>
      <c r="AS450" s="198"/>
      <c r="AT450" s="198"/>
      <c r="AU450" s="198"/>
      <c r="AV450" s="198"/>
      <c r="AW450" s="198"/>
      <c r="AX450" s="198"/>
      <c r="AY450" s="198"/>
      <c r="AZ450" s="198"/>
      <c r="BA450" s="198"/>
      <c r="BB450" s="198"/>
      <c r="BC450" s="198"/>
      <c r="BD450" s="198"/>
      <c r="BE450" s="198"/>
      <c r="BF450" s="198"/>
      <c r="BG450" s="198"/>
      <c r="BH450" s="198"/>
      <c r="BI450" s="198"/>
      <c r="BJ450" s="198"/>
      <c r="BK450" s="198"/>
      <c r="BL450" s="198"/>
      <c r="BM450" s="198"/>
      <c r="BN450" s="198"/>
      <c r="BO450" s="198"/>
      <c r="BP450" s="198"/>
      <c r="BQ450" s="198"/>
      <c r="BR450" s="198"/>
      <c r="BS450" s="198"/>
      <c r="BT450" s="198"/>
      <c r="BU450" s="198"/>
      <c r="BV450" s="198"/>
      <c r="BW450" s="198"/>
      <c r="BX450" s="198"/>
      <c r="BY450" s="198"/>
      <c r="BZ450" s="198"/>
      <c r="CA450" s="198"/>
      <c r="CB450" s="198"/>
      <c r="CC450" s="198"/>
      <c r="CD450" s="198"/>
      <c r="CE450" s="198"/>
      <c r="CF450" s="198"/>
      <c r="CG450" s="198"/>
    </row>
    <row r="451" spans="1:85" s="199" customFormat="1" ht="15.6" x14ac:dyDescent="0.25">
      <c r="A451" s="828" t="s">
        <v>144</v>
      </c>
      <c r="B451" s="285"/>
      <c r="C451" s="286"/>
      <c r="D451" s="287"/>
      <c r="E451" s="288"/>
      <c r="F451" s="289"/>
      <c r="G451" s="290"/>
      <c r="H451" s="290"/>
      <c r="I451" s="197"/>
      <c r="J451" s="197"/>
      <c r="K451" s="197"/>
      <c r="L451" s="197"/>
      <c r="M451" s="197"/>
      <c r="N451" s="197"/>
      <c r="O451" s="197"/>
      <c r="P451" s="197"/>
      <c r="Q451" s="197"/>
      <c r="R451" s="197"/>
      <c r="S451" s="197"/>
      <c r="T451" s="198"/>
      <c r="U451" s="198"/>
      <c r="V451" s="198"/>
      <c r="W451" s="198"/>
      <c r="X451" s="198"/>
      <c r="Y451" s="198"/>
      <c r="Z451" s="198"/>
      <c r="AA451" s="198"/>
      <c r="AB451" s="198"/>
      <c r="AC451" s="198"/>
      <c r="AD451" s="198"/>
      <c r="AE451" s="198"/>
      <c r="AF451" s="198"/>
      <c r="AG451" s="198"/>
      <c r="AH451" s="198"/>
      <c r="AI451" s="198"/>
      <c r="AJ451" s="198"/>
      <c r="AK451" s="198"/>
      <c r="AL451" s="198"/>
      <c r="AM451" s="198"/>
      <c r="AN451" s="198"/>
      <c r="AO451" s="198"/>
      <c r="AP451" s="198"/>
      <c r="AQ451" s="198"/>
      <c r="AR451" s="198"/>
      <c r="AS451" s="198"/>
      <c r="AT451" s="198"/>
      <c r="AU451" s="198"/>
      <c r="AV451" s="198"/>
      <c r="AW451" s="198"/>
      <c r="AX451" s="198"/>
      <c r="AY451" s="198"/>
      <c r="AZ451" s="198"/>
      <c r="BA451" s="198"/>
      <c r="BB451" s="198"/>
      <c r="BC451" s="198"/>
      <c r="BD451" s="198"/>
      <c r="BE451" s="198"/>
      <c r="BF451" s="198"/>
      <c r="BG451" s="198"/>
      <c r="BH451" s="198"/>
      <c r="BI451" s="198"/>
      <c r="BJ451" s="198"/>
      <c r="BK451" s="198"/>
      <c r="BL451" s="198"/>
      <c r="BM451" s="198"/>
      <c r="BN451" s="198"/>
      <c r="BO451" s="198"/>
      <c r="BP451" s="198"/>
      <c r="BQ451" s="198"/>
      <c r="BR451" s="198"/>
      <c r="BS451" s="198"/>
      <c r="BT451" s="198"/>
      <c r="BU451" s="198"/>
      <c r="BV451" s="198"/>
      <c r="BW451" s="198"/>
      <c r="BX451" s="198"/>
      <c r="BY451" s="198"/>
      <c r="BZ451" s="198"/>
      <c r="CA451" s="198"/>
      <c r="CB451" s="198"/>
      <c r="CC451" s="198"/>
      <c r="CD451" s="198"/>
      <c r="CE451" s="198"/>
      <c r="CF451" s="198"/>
      <c r="CG451" s="198"/>
    </row>
    <row r="452" spans="1:85" s="199" customFormat="1" x14ac:dyDescent="0.25">
      <c r="A452" s="284"/>
      <c r="B452" s="285" t="s">
        <v>321</v>
      </c>
      <c r="C452" s="291"/>
      <c r="D452" s="287"/>
      <c r="E452" s="288"/>
      <c r="F452" s="289"/>
      <c r="G452" s="290"/>
      <c r="H452" s="290"/>
      <c r="I452" s="197"/>
      <c r="J452" s="197"/>
      <c r="K452" s="197"/>
      <c r="L452" s="197"/>
      <c r="M452" s="197"/>
      <c r="N452" s="197"/>
      <c r="O452" s="197"/>
      <c r="P452" s="197"/>
      <c r="Q452" s="197"/>
      <c r="R452" s="197"/>
      <c r="S452" s="197"/>
      <c r="T452" s="198"/>
      <c r="U452" s="198"/>
      <c r="V452" s="198"/>
      <c r="W452" s="198"/>
      <c r="X452" s="198"/>
      <c r="Y452" s="198"/>
      <c r="Z452" s="198"/>
      <c r="AA452" s="198"/>
      <c r="AB452" s="198"/>
      <c r="AC452" s="198"/>
      <c r="AD452" s="198"/>
      <c r="AE452" s="198"/>
      <c r="AF452" s="198"/>
      <c r="AG452" s="198"/>
      <c r="AH452" s="198"/>
      <c r="AI452" s="198"/>
      <c r="AJ452" s="198"/>
      <c r="AK452" s="198"/>
      <c r="AL452" s="198"/>
      <c r="AM452" s="198"/>
      <c r="AN452" s="198"/>
      <c r="AO452" s="198"/>
      <c r="AP452" s="198"/>
      <c r="AQ452" s="198"/>
      <c r="AR452" s="198"/>
      <c r="AS452" s="198"/>
      <c r="AT452" s="198"/>
      <c r="AU452" s="198"/>
      <c r="AV452" s="198"/>
      <c r="AW452" s="198"/>
      <c r="AX452" s="198"/>
      <c r="AY452" s="198"/>
      <c r="AZ452" s="198"/>
      <c r="BA452" s="198"/>
      <c r="BB452" s="198"/>
      <c r="BC452" s="198"/>
      <c r="BD452" s="198"/>
      <c r="BE452" s="198"/>
      <c r="BF452" s="198"/>
      <c r="BG452" s="198"/>
      <c r="BH452" s="198"/>
      <c r="BI452" s="198"/>
      <c r="BJ452" s="198"/>
      <c r="BK452" s="198"/>
      <c r="BL452" s="198"/>
      <c r="BM452" s="198"/>
      <c r="BN452" s="198"/>
      <c r="BO452" s="198"/>
      <c r="BP452" s="198"/>
      <c r="BQ452" s="198"/>
      <c r="BR452" s="198"/>
      <c r="BS452" s="198"/>
      <c r="BT452" s="198"/>
      <c r="BU452" s="198"/>
      <c r="BV452" s="198"/>
      <c r="BW452" s="198"/>
      <c r="BX452" s="198"/>
      <c r="BY452" s="198"/>
      <c r="BZ452" s="198"/>
      <c r="CA452" s="198"/>
      <c r="CB452" s="198"/>
      <c r="CC452" s="198"/>
      <c r="CD452" s="198"/>
      <c r="CE452" s="198"/>
      <c r="CF452" s="198"/>
      <c r="CG452" s="198"/>
    </row>
    <row r="453" spans="1:85" s="199" customFormat="1" x14ac:dyDescent="0.25">
      <c r="A453" s="259"/>
      <c r="B453" s="285" t="s">
        <v>487</v>
      </c>
      <c r="C453" s="291"/>
      <c r="D453" s="292"/>
      <c r="E453" s="185"/>
      <c r="F453" s="171"/>
      <c r="G453" s="265"/>
      <c r="H453" s="265"/>
      <c r="I453" s="197"/>
      <c r="J453" s="197"/>
      <c r="K453" s="197"/>
      <c r="L453" s="197"/>
      <c r="M453" s="197"/>
      <c r="N453" s="197"/>
      <c r="O453" s="197"/>
      <c r="P453" s="197"/>
      <c r="Q453" s="197"/>
      <c r="R453" s="197"/>
      <c r="S453" s="197"/>
      <c r="T453" s="198"/>
      <c r="U453" s="198"/>
      <c r="V453" s="198"/>
      <c r="W453" s="198"/>
      <c r="X453" s="198"/>
      <c r="Y453" s="198"/>
      <c r="Z453" s="198"/>
      <c r="AA453" s="198"/>
      <c r="AB453" s="198"/>
      <c r="AC453" s="198"/>
      <c r="AD453" s="198"/>
      <c r="AE453" s="198"/>
      <c r="AF453" s="198"/>
      <c r="AG453" s="198"/>
      <c r="AH453" s="198"/>
      <c r="AI453" s="198"/>
      <c r="AJ453" s="198"/>
      <c r="AK453" s="198"/>
      <c r="AL453" s="198"/>
      <c r="AM453" s="198"/>
      <c r="AN453" s="198"/>
      <c r="AO453" s="198"/>
      <c r="AP453" s="198"/>
      <c r="AQ453" s="198"/>
      <c r="AR453" s="198"/>
      <c r="AS453" s="198"/>
      <c r="AT453" s="198"/>
      <c r="AU453" s="198"/>
      <c r="AV453" s="198"/>
      <c r="AW453" s="198"/>
      <c r="AX453" s="198"/>
      <c r="AY453" s="198"/>
      <c r="AZ453" s="198"/>
      <c r="BA453" s="198"/>
      <c r="BB453" s="198"/>
      <c r="BC453" s="198"/>
      <c r="BD453" s="198"/>
      <c r="BE453" s="198"/>
      <c r="BF453" s="198"/>
      <c r="BG453" s="198"/>
      <c r="BH453" s="198"/>
      <c r="BI453" s="198"/>
      <c r="BJ453" s="198"/>
      <c r="BK453" s="198"/>
      <c r="BL453" s="198"/>
      <c r="BM453" s="198"/>
      <c r="BN453" s="198"/>
      <c r="BO453" s="198"/>
      <c r="BP453" s="198"/>
      <c r="BQ453" s="198"/>
      <c r="BR453" s="198"/>
      <c r="BS453" s="198"/>
      <c r="BT453" s="198"/>
      <c r="BU453" s="198"/>
      <c r="BV453" s="198"/>
      <c r="BW453" s="198"/>
      <c r="BX453" s="198"/>
      <c r="BY453" s="198"/>
      <c r="BZ453" s="198"/>
      <c r="CA453" s="198"/>
      <c r="CB453" s="198"/>
      <c r="CC453" s="198"/>
      <c r="CD453" s="198"/>
      <c r="CE453" s="198"/>
      <c r="CF453" s="198"/>
      <c r="CG453" s="198"/>
    </row>
    <row r="454" spans="1:85" s="199" customFormat="1" x14ac:dyDescent="0.25">
      <c r="A454" s="259"/>
      <c r="B454" s="260" t="s">
        <v>488</v>
      </c>
      <c r="C454" s="291"/>
      <c r="D454" s="292"/>
      <c r="E454" s="185"/>
      <c r="F454" s="171"/>
      <c r="G454" s="265"/>
      <c r="H454" s="265"/>
      <c r="I454" s="197"/>
      <c r="J454" s="197"/>
      <c r="K454" s="197"/>
      <c r="L454" s="197"/>
      <c r="M454" s="197"/>
      <c r="N454" s="197"/>
      <c r="O454" s="197"/>
      <c r="P454" s="197"/>
      <c r="Q454" s="197"/>
      <c r="R454" s="197"/>
      <c r="S454" s="197"/>
      <c r="T454" s="198"/>
      <c r="U454" s="198"/>
      <c r="V454" s="198"/>
      <c r="W454" s="198"/>
      <c r="X454" s="198"/>
      <c r="Y454" s="198"/>
      <c r="Z454" s="198"/>
      <c r="AA454" s="198"/>
      <c r="AB454" s="198"/>
      <c r="AC454" s="198"/>
      <c r="AD454" s="198"/>
      <c r="AE454" s="198"/>
      <c r="AF454" s="198"/>
      <c r="AG454" s="198"/>
      <c r="AH454" s="198"/>
      <c r="AI454" s="198"/>
      <c r="AJ454" s="198"/>
      <c r="AK454" s="198"/>
      <c r="AL454" s="198"/>
      <c r="AM454" s="198"/>
      <c r="AN454" s="198"/>
      <c r="AO454" s="198"/>
      <c r="AP454" s="198"/>
      <c r="AQ454" s="198"/>
      <c r="AR454" s="198"/>
      <c r="AS454" s="198"/>
      <c r="AT454" s="198"/>
      <c r="AU454" s="198"/>
      <c r="AV454" s="198"/>
      <c r="AW454" s="198"/>
      <c r="AX454" s="198"/>
      <c r="AY454" s="198"/>
      <c r="AZ454" s="198"/>
      <c r="BA454" s="198"/>
      <c r="BB454" s="198"/>
      <c r="BC454" s="198"/>
      <c r="BD454" s="198"/>
      <c r="BE454" s="198"/>
      <c r="BF454" s="198"/>
      <c r="BG454" s="198"/>
      <c r="BH454" s="198"/>
      <c r="BI454" s="198"/>
      <c r="BJ454" s="198"/>
      <c r="BK454" s="198"/>
      <c r="BL454" s="198"/>
      <c r="BM454" s="198"/>
      <c r="BN454" s="198"/>
      <c r="BO454" s="198"/>
      <c r="BP454" s="198"/>
      <c r="BQ454" s="198"/>
      <c r="BR454" s="198"/>
      <c r="BS454" s="198"/>
      <c r="BT454" s="198"/>
      <c r="BU454" s="198"/>
      <c r="BV454" s="198"/>
      <c r="BW454" s="198"/>
      <c r="BX454" s="198"/>
      <c r="BY454" s="198"/>
      <c r="BZ454" s="198"/>
      <c r="CA454" s="198"/>
      <c r="CB454" s="198"/>
      <c r="CC454" s="198"/>
      <c r="CD454" s="198"/>
      <c r="CE454" s="198"/>
      <c r="CF454" s="198"/>
      <c r="CG454" s="198"/>
    </row>
    <row r="455" spans="1:85" s="199" customFormat="1" x14ac:dyDescent="0.25">
      <c r="A455" s="259"/>
      <c r="B455" s="260" t="s">
        <v>489</v>
      </c>
      <c r="C455" s="291"/>
      <c r="D455" s="292"/>
      <c r="E455" s="185"/>
      <c r="F455" s="171"/>
      <c r="G455" s="265"/>
      <c r="H455" s="265"/>
      <c r="I455" s="197"/>
      <c r="J455" s="197"/>
      <c r="K455" s="197"/>
      <c r="L455" s="197"/>
      <c r="M455" s="197"/>
      <c r="N455" s="197"/>
      <c r="O455" s="197"/>
      <c r="P455" s="197"/>
      <c r="Q455" s="197"/>
      <c r="R455" s="197"/>
      <c r="S455" s="197"/>
      <c r="T455" s="198"/>
      <c r="U455" s="198"/>
      <c r="V455" s="198"/>
      <c r="W455" s="198"/>
      <c r="X455" s="198"/>
      <c r="Y455" s="198"/>
      <c r="Z455" s="198"/>
      <c r="AA455" s="198"/>
      <c r="AB455" s="198"/>
      <c r="AC455" s="198"/>
      <c r="AD455" s="198"/>
      <c r="AE455" s="198"/>
      <c r="AF455" s="198"/>
      <c r="AG455" s="198"/>
      <c r="AH455" s="198"/>
      <c r="AI455" s="198"/>
      <c r="AJ455" s="198"/>
      <c r="AK455" s="198"/>
      <c r="AL455" s="198"/>
      <c r="AM455" s="198"/>
      <c r="AN455" s="198"/>
      <c r="AO455" s="198"/>
      <c r="AP455" s="198"/>
      <c r="AQ455" s="198"/>
      <c r="AR455" s="198"/>
      <c r="AS455" s="198"/>
      <c r="AT455" s="198"/>
      <c r="AU455" s="198"/>
      <c r="AV455" s="198"/>
      <c r="AW455" s="198"/>
      <c r="AX455" s="198"/>
      <c r="AY455" s="198"/>
      <c r="AZ455" s="198"/>
      <c r="BA455" s="198"/>
      <c r="BB455" s="198"/>
      <c r="BC455" s="198"/>
      <c r="BD455" s="198"/>
      <c r="BE455" s="198"/>
      <c r="BF455" s="198"/>
      <c r="BG455" s="198"/>
      <c r="BH455" s="198"/>
      <c r="BI455" s="198"/>
      <c r="BJ455" s="198"/>
      <c r="BK455" s="198"/>
      <c r="BL455" s="198"/>
      <c r="BM455" s="198"/>
      <c r="BN455" s="198"/>
      <c r="BO455" s="198"/>
      <c r="BP455" s="198"/>
      <c r="BQ455" s="198"/>
      <c r="BR455" s="198"/>
      <c r="BS455" s="198"/>
      <c r="BT455" s="198"/>
      <c r="BU455" s="198"/>
      <c r="BV455" s="198"/>
      <c r="BW455" s="198"/>
      <c r="BX455" s="198"/>
      <c r="BY455" s="198"/>
      <c r="BZ455" s="198"/>
      <c r="CA455" s="198"/>
      <c r="CB455" s="198"/>
      <c r="CC455" s="198"/>
      <c r="CD455" s="198"/>
      <c r="CE455" s="198"/>
      <c r="CF455" s="198"/>
      <c r="CG455" s="198"/>
    </row>
    <row r="456" spans="1:85" s="199" customFormat="1" x14ac:dyDescent="0.25">
      <c r="A456" s="259"/>
      <c r="B456" s="260" t="s">
        <v>490</v>
      </c>
      <c r="C456" s="291"/>
      <c r="D456" s="292"/>
      <c r="E456" s="185"/>
      <c r="F456" s="171"/>
      <c r="G456" s="265"/>
      <c r="H456" s="265"/>
      <c r="I456" s="197"/>
      <c r="J456" s="197"/>
      <c r="K456" s="197"/>
      <c r="L456" s="197"/>
      <c r="M456" s="197"/>
      <c r="N456" s="197"/>
      <c r="O456" s="197"/>
      <c r="P456" s="197"/>
      <c r="Q456" s="197"/>
      <c r="R456" s="197"/>
      <c r="S456" s="197"/>
      <c r="T456" s="198"/>
      <c r="U456" s="198"/>
      <c r="V456" s="198"/>
      <c r="W456" s="198"/>
      <c r="X456" s="198"/>
      <c r="Y456" s="198"/>
      <c r="Z456" s="198"/>
      <c r="AA456" s="198"/>
      <c r="AB456" s="198"/>
      <c r="AC456" s="198"/>
      <c r="AD456" s="198"/>
      <c r="AE456" s="198"/>
      <c r="AF456" s="198"/>
      <c r="AG456" s="198"/>
      <c r="AH456" s="198"/>
      <c r="AI456" s="198"/>
      <c r="AJ456" s="198"/>
      <c r="AK456" s="198"/>
      <c r="AL456" s="198"/>
      <c r="AM456" s="198"/>
      <c r="AN456" s="198"/>
      <c r="AO456" s="198"/>
      <c r="AP456" s="198"/>
      <c r="AQ456" s="198"/>
      <c r="AR456" s="198"/>
      <c r="AS456" s="198"/>
      <c r="AT456" s="198"/>
      <c r="AU456" s="198"/>
      <c r="AV456" s="198"/>
      <c r="AW456" s="198"/>
      <c r="AX456" s="198"/>
      <c r="AY456" s="198"/>
      <c r="AZ456" s="198"/>
      <c r="BA456" s="198"/>
      <c r="BB456" s="198"/>
      <c r="BC456" s="198"/>
      <c r="BD456" s="198"/>
      <c r="BE456" s="198"/>
      <c r="BF456" s="198"/>
      <c r="BG456" s="198"/>
      <c r="BH456" s="198"/>
      <c r="BI456" s="198"/>
      <c r="BJ456" s="198"/>
      <c r="BK456" s="198"/>
      <c r="BL456" s="198"/>
      <c r="BM456" s="198"/>
      <c r="BN456" s="198"/>
      <c r="BO456" s="198"/>
      <c r="BP456" s="198"/>
      <c r="BQ456" s="198"/>
      <c r="BR456" s="198"/>
      <c r="BS456" s="198"/>
      <c r="BT456" s="198"/>
      <c r="BU456" s="198"/>
      <c r="BV456" s="198"/>
      <c r="BW456" s="198"/>
      <c r="BX456" s="198"/>
      <c r="BY456" s="198"/>
      <c r="BZ456" s="198"/>
      <c r="CA456" s="198"/>
      <c r="CB456" s="198"/>
      <c r="CC456" s="198"/>
      <c r="CD456" s="198"/>
      <c r="CE456" s="198"/>
      <c r="CF456" s="198"/>
      <c r="CG456" s="198"/>
    </row>
    <row r="457" spans="1:85" s="199" customFormat="1" x14ac:dyDescent="0.25">
      <c r="A457" s="259"/>
      <c r="B457" s="260" t="s">
        <v>491</v>
      </c>
      <c r="C457" s="291"/>
      <c r="D457" s="292"/>
      <c r="E457" s="185"/>
      <c r="F457" s="171"/>
      <c r="G457" s="265"/>
      <c r="H457" s="265"/>
      <c r="I457" s="197"/>
      <c r="J457" s="197"/>
      <c r="K457" s="197"/>
      <c r="L457" s="197"/>
      <c r="M457" s="197"/>
      <c r="N457" s="197"/>
      <c r="O457" s="197"/>
      <c r="P457" s="197"/>
      <c r="Q457" s="197"/>
      <c r="R457" s="197"/>
      <c r="S457" s="197"/>
      <c r="T457" s="198"/>
      <c r="U457" s="198"/>
      <c r="V457" s="198"/>
      <c r="W457" s="198"/>
      <c r="X457" s="198"/>
      <c r="Y457" s="198"/>
      <c r="Z457" s="198"/>
      <c r="AA457" s="198"/>
      <c r="AB457" s="198"/>
      <c r="AC457" s="198"/>
      <c r="AD457" s="198"/>
      <c r="AE457" s="198"/>
      <c r="AF457" s="198"/>
      <c r="AG457" s="198"/>
      <c r="AH457" s="198"/>
      <c r="AI457" s="198"/>
      <c r="AJ457" s="198"/>
      <c r="AK457" s="198"/>
      <c r="AL457" s="198"/>
      <c r="AM457" s="198"/>
      <c r="AN457" s="198"/>
      <c r="AO457" s="198"/>
      <c r="AP457" s="198"/>
      <c r="AQ457" s="198"/>
      <c r="AR457" s="198"/>
      <c r="AS457" s="198"/>
      <c r="AT457" s="198"/>
      <c r="AU457" s="198"/>
      <c r="AV457" s="198"/>
      <c r="AW457" s="198"/>
      <c r="AX457" s="198"/>
      <c r="AY457" s="198"/>
      <c r="AZ457" s="198"/>
      <c r="BA457" s="198"/>
      <c r="BB457" s="198"/>
      <c r="BC457" s="198"/>
      <c r="BD457" s="198"/>
      <c r="BE457" s="198"/>
      <c r="BF457" s="198"/>
      <c r="BG457" s="198"/>
      <c r="BH457" s="198"/>
      <c r="BI457" s="198"/>
      <c r="BJ457" s="198"/>
      <c r="BK457" s="198"/>
      <c r="BL457" s="198"/>
      <c r="BM457" s="198"/>
      <c r="BN457" s="198"/>
      <c r="BO457" s="198"/>
      <c r="BP457" s="198"/>
      <c r="BQ457" s="198"/>
      <c r="BR457" s="198"/>
      <c r="BS457" s="198"/>
      <c r="BT457" s="198"/>
      <c r="BU457" s="198"/>
      <c r="BV457" s="198"/>
      <c r="BW457" s="198"/>
      <c r="BX457" s="198"/>
      <c r="BY457" s="198"/>
      <c r="BZ457" s="198"/>
      <c r="CA457" s="198"/>
      <c r="CB457" s="198"/>
      <c r="CC457" s="198"/>
      <c r="CD457" s="198"/>
      <c r="CE457" s="198"/>
      <c r="CF457" s="198"/>
      <c r="CG457" s="198"/>
    </row>
    <row r="458" spans="1:85" s="199" customFormat="1" x14ac:dyDescent="0.25">
      <c r="A458" s="259"/>
      <c r="B458" s="260" t="s">
        <v>318</v>
      </c>
      <c r="C458" s="291"/>
      <c r="D458" s="292"/>
      <c r="E458" s="185"/>
      <c r="F458" s="171"/>
      <c r="G458" s="265"/>
      <c r="H458" s="265"/>
      <c r="I458" s="197"/>
      <c r="J458" s="197"/>
      <c r="K458" s="197"/>
      <c r="L458" s="197"/>
      <c r="M458" s="197"/>
      <c r="N458" s="197"/>
      <c r="O458" s="197"/>
      <c r="P458" s="197"/>
      <c r="Q458" s="197"/>
      <c r="R458" s="197"/>
      <c r="S458" s="197"/>
      <c r="T458" s="198"/>
      <c r="U458" s="198"/>
      <c r="V458" s="198"/>
      <c r="W458" s="198"/>
      <c r="X458" s="198"/>
      <c r="Y458" s="198"/>
      <c r="Z458" s="198"/>
      <c r="AA458" s="198"/>
      <c r="AB458" s="198"/>
      <c r="AC458" s="198"/>
      <c r="AD458" s="198"/>
      <c r="AE458" s="198"/>
      <c r="AF458" s="198"/>
      <c r="AG458" s="198"/>
      <c r="AH458" s="198"/>
      <c r="AI458" s="198"/>
      <c r="AJ458" s="198"/>
      <c r="AK458" s="198"/>
      <c r="AL458" s="198"/>
      <c r="AM458" s="198"/>
      <c r="AN458" s="198"/>
      <c r="AO458" s="198"/>
      <c r="AP458" s="198"/>
      <c r="AQ458" s="198"/>
      <c r="AR458" s="198"/>
      <c r="AS458" s="198"/>
      <c r="AT458" s="198"/>
      <c r="AU458" s="198"/>
      <c r="AV458" s="198"/>
      <c r="AW458" s="198"/>
      <c r="AX458" s="198"/>
      <c r="AY458" s="198"/>
      <c r="AZ458" s="198"/>
      <c r="BA458" s="198"/>
      <c r="BB458" s="198"/>
      <c r="BC458" s="198"/>
      <c r="BD458" s="198"/>
      <c r="BE458" s="198"/>
      <c r="BF458" s="198"/>
      <c r="BG458" s="198"/>
      <c r="BH458" s="198"/>
      <c r="BI458" s="198"/>
      <c r="BJ458" s="198"/>
      <c r="BK458" s="198"/>
      <c r="BL458" s="198"/>
      <c r="BM458" s="198"/>
      <c r="BN458" s="198"/>
      <c r="BO458" s="198"/>
      <c r="BP458" s="198"/>
      <c r="BQ458" s="198"/>
      <c r="BR458" s="198"/>
      <c r="BS458" s="198"/>
      <c r="BT458" s="198"/>
      <c r="BU458" s="198"/>
      <c r="BV458" s="198"/>
      <c r="BW458" s="198"/>
      <c r="BX458" s="198"/>
      <c r="BY458" s="198"/>
      <c r="BZ458" s="198"/>
      <c r="CA458" s="198"/>
      <c r="CB458" s="198"/>
      <c r="CC458" s="198"/>
      <c r="CD458" s="198"/>
      <c r="CE458" s="198"/>
      <c r="CF458" s="198"/>
      <c r="CG458" s="198"/>
    </row>
    <row r="459" spans="1:85" s="199" customFormat="1" x14ac:dyDescent="0.25">
      <c r="A459" s="259"/>
      <c r="B459" s="260" t="s">
        <v>492</v>
      </c>
      <c r="C459" s="291"/>
      <c r="D459" s="292"/>
      <c r="E459" s="185"/>
      <c r="F459" s="171"/>
      <c r="G459" s="265"/>
      <c r="H459" s="265"/>
      <c r="I459" s="197"/>
      <c r="J459" s="197"/>
      <c r="K459" s="197"/>
      <c r="L459" s="197"/>
      <c r="M459" s="197"/>
      <c r="N459" s="197"/>
      <c r="O459" s="197"/>
      <c r="P459" s="197"/>
      <c r="Q459" s="197"/>
      <c r="R459" s="197"/>
      <c r="S459" s="197"/>
      <c r="T459" s="198"/>
      <c r="U459" s="198"/>
      <c r="V459" s="198"/>
      <c r="W459" s="198"/>
      <c r="X459" s="198"/>
      <c r="Y459" s="198"/>
      <c r="Z459" s="198"/>
      <c r="AA459" s="198"/>
      <c r="AB459" s="198"/>
      <c r="AC459" s="198"/>
      <c r="AD459" s="198"/>
      <c r="AE459" s="198"/>
      <c r="AF459" s="198"/>
      <c r="AG459" s="198"/>
      <c r="AH459" s="198"/>
      <c r="AI459" s="198"/>
      <c r="AJ459" s="198"/>
      <c r="AK459" s="198"/>
      <c r="AL459" s="198"/>
      <c r="AM459" s="198"/>
      <c r="AN459" s="198"/>
      <c r="AO459" s="198"/>
      <c r="AP459" s="198"/>
      <c r="AQ459" s="198"/>
      <c r="AR459" s="198"/>
      <c r="AS459" s="198"/>
      <c r="AT459" s="198"/>
      <c r="AU459" s="198"/>
      <c r="AV459" s="198"/>
      <c r="AW459" s="198"/>
      <c r="AX459" s="198"/>
      <c r="AY459" s="198"/>
      <c r="AZ459" s="198"/>
      <c r="BA459" s="198"/>
      <c r="BB459" s="198"/>
      <c r="BC459" s="198"/>
      <c r="BD459" s="198"/>
      <c r="BE459" s="198"/>
      <c r="BF459" s="198"/>
      <c r="BG459" s="198"/>
      <c r="BH459" s="198"/>
      <c r="BI459" s="198"/>
      <c r="BJ459" s="198"/>
      <c r="BK459" s="198"/>
      <c r="BL459" s="198"/>
      <c r="BM459" s="198"/>
      <c r="BN459" s="198"/>
      <c r="BO459" s="198"/>
      <c r="BP459" s="198"/>
      <c r="BQ459" s="198"/>
      <c r="BR459" s="198"/>
      <c r="BS459" s="198"/>
      <c r="BT459" s="198"/>
      <c r="BU459" s="198"/>
      <c r="BV459" s="198"/>
      <c r="BW459" s="198"/>
      <c r="BX459" s="198"/>
      <c r="BY459" s="198"/>
      <c r="BZ459" s="198"/>
      <c r="CA459" s="198"/>
      <c r="CB459" s="198"/>
      <c r="CC459" s="198"/>
      <c r="CD459" s="198"/>
      <c r="CE459" s="198"/>
      <c r="CF459" s="198"/>
      <c r="CG459" s="198"/>
    </row>
    <row r="460" spans="1:85" s="199" customFormat="1" x14ac:dyDescent="0.25">
      <c r="A460" s="259"/>
      <c r="B460" s="260" t="s">
        <v>493</v>
      </c>
      <c r="C460" s="291"/>
      <c r="D460" s="292"/>
      <c r="E460" s="185"/>
      <c r="F460" s="171"/>
      <c r="G460" s="265"/>
      <c r="H460" s="265"/>
      <c r="I460" s="197"/>
      <c r="J460" s="197"/>
      <c r="K460" s="197"/>
      <c r="L460" s="197"/>
      <c r="M460" s="197"/>
      <c r="N460" s="197"/>
      <c r="O460" s="197"/>
      <c r="P460" s="197"/>
      <c r="Q460" s="197"/>
      <c r="R460" s="197"/>
      <c r="S460" s="197"/>
      <c r="T460" s="198"/>
      <c r="U460" s="198"/>
      <c r="V460" s="198"/>
      <c r="W460" s="198"/>
      <c r="X460" s="198"/>
      <c r="Y460" s="198"/>
      <c r="Z460" s="198"/>
      <c r="AA460" s="198"/>
      <c r="AB460" s="198"/>
      <c r="AC460" s="198"/>
      <c r="AD460" s="198"/>
      <c r="AE460" s="198"/>
      <c r="AF460" s="198"/>
      <c r="AG460" s="198"/>
      <c r="AH460" s="198"/>
      <c r="AI460" s="198"/>
      <c r="AJ460" s="198"/>
      <c r="AK460" s="198"/>
      <c r="AL460" s="198"/>
      <c r="AM460" s="198"/>
      <c r="AN460" s="198"/>
      <c r="AO460" s="198"/>
      <c r="AP460" s="198"/>
      <c r="AQ460" s="198"/>
      <c r="AR460" s="198"/>
      <c r="AS460" s="198"/>
      <c r="AT460" s="198"/>
      <c r="AU460" s="198"/>
      <c r="AV460" s="198"/>
      <c r="AW460" s="198"/>
      <c r="AX460" s="198"/>
      <c r="AY460" s="198"/>
      <c r="AZ460" s="198"/>
      <c r="BA460" s="198"/>
      <c r="BB460" s="198"/>
      <c r="BC460" s="198"/>
      <c r="BD460" s="198"/>
      <c r="BE460" s="198"/>
      <c r="BF460" s="198"/>
      <c r="BG460" s="198"/>
      <c r="BH460" s="198"/>
      <c r="BI460" s="198"/>
      <c r="BJ460" s="198"/>
      <c r="BK460" s="198"/>
      <c r="BL460" s="198"/>
      <c r="BM460" s="198"/>
      <c r="BN460" s="198"/>
      <c r="BO460" s="198"/>
      <c r="BP460" s="198"/>
      <c r="BQ460" s="198"/>
      <c r="BR460" s="198"/>
      <c r="BS460" s="198"/>
      <c r="BT460" s="198"/>
      <c r="BU460" s="198"/>
      <c r="BV460" s="198"/>
      <c r="BW460" s="198"/>
      <c r="BX460" s="198"/>
      <c r="BY460" s="198"/>
      <c r="BZ460" s="198"/>
      <c r="CA460" s="198"/>
      <c r="CB460" s="198"/>
      <c r="CC460" s="198"/>
      <c r="CD460" s="198"/>
      <c r="CE460" s="198"/>
      <c r="CF460" s="198"/>
      <c r="CG460" s="198"/>
    </row>
    <row r="461" spans="1:85" s="199" customFormat="1" x14ac:dyDescent="0.25">
      <c r="A461" s="259"/>
      <c r="B461" s="301" t="s">
        <v>494</v>
      </c>
      <c r="C461" s="291"/>
      <c r="D461" s="292"/>
      <c r="E461" s="185"/>
      <c r="F461" s="171"/>
      <c r="G461" s="265"/>
      <c r="H461" s="265"/>
      <c r="I461" s="197"/>
      <c r="J461" s="197"/>
      <c r="K461" s="197"/>
      <c r="L461" s="197"/>
      <c r="M461" s="197"/>
      <c r="N461" s="197"/>
      <c r="O461" s="197"/>
      <c r="P461" s="197"/>
      <c r="Q461" s="197"/>
      <c r="R461" s="197"/>
      <c r="S461" s="197"/>
      <c r="T461" s="198"/>
      <c r="U461" s="198"/>
      <c r="V461" s="198"/>
      <c r="W461" s="198"/>
      <c r="X461" s="198"/>
      <c r="Y461" s="198"/>
      <c r="Z461" s="198"/>
      <c r="AA461" s="198"/>
      <c r="AB461" s="198"/>
      <c r="AC461" s="198"/>
      <c r="AD461" s="198"/>
      <c r="AE461" s="198"/>
      <c r="AF461" s="198"/>
      <c r="AG461" s="198"/>
      <c r="AH461" s="198"/>
      <c r="AI461" s="198"/>
      <c r="AJ461" s="198"/>
      <c r="AK461" s="198"/>
      <c r="AL461" s="198"/>
      <c r="AM461" s="198"/>
      <c r="AN461" s="198"/>
      <c r="AO461" s="198"/>
      <c r="AP461" s="198"/>
      <c r="AQ461" s="198"/>
      <c r="AR461" s="198"/>
      <c r="AS461" s="198"/>
      <c r="AT461" s="198"/>
      <c r="AU461" s="198"/>
      <c r="AV461" s="198"/>
      <c r="AW461" s="198"/>
      <c r="AX461" s="198"/>
      <c r="AY461" s="198"/>
      <c r="AZ461" s="198"/>
      <c r="BA461" s="198"/>
      <c r="BB461" s="198"/>
      <c r="BC461" s="198"/>
      <c r="BD461" s="198"/>
      <c r="BE461" s="198"/>
      <c r="BF461" s="198"/>
      <c r="BG461" s="198"/>
      <c r="BH461" s="198"/>
      <c r="BI461" s="198"/>
      <c r="BJ461" s="198"/>
      <c r="BK461" s="198"/>
      <c r="BL461" s="198"/>
      <c r="BM461" s="198"/>
      <c r="BN461" s="198"/>
      <c r="BO461" s="198"/>
      <c r="BP461" s="198"/>
      <c r="BQ461" s="198"/>
      <c r="BR461" s="198"/>
      <c r="BS461" s="198"/>
      <c r="BT461" s="198"/>
      <c r="BU461" s="198"/>
      <c r="BV461" s="198"/>
      <c r="BW461" s="198"/>
      <c r="BX461" s="198"/>
      <c r="BY461" s="198"/>
      <c r="BZ461" s="198"/>
      <c r="CA461" s="198"/>
      <c r="CB461" s="198"/>
      <c r="CC461" s="198"/>
      <c r="CD461" s="198"/>
      <c r="CE461" s="198"/>
      <c r="CF461" s="198"/>
      <c r="CG461" s="198"/>
    </row>
    <row r="462" spans="1:85" s="199" customFormat="1" x14ac:dyDescent="0.25">
      <c r="A462" s="259"/>
      <c r="B462" s="260" t="s">
        <v>319</v>
      </c>
      <c r="C462" s="291"/>
      <c r="D462" s="292"/>
      <c r="E462" s="185"/>
      <c r="F462" s="293"/>
      <c r="G462" s="293"/>
      <c r="H462" s="293"/>
      <c r="I462" s="197"/>
      <c r="J462" s="197"/>
      <c r="K462" s="197"/>
      <c r="L462" s="197"/>
      <c r="M462" s="197"/>
      <c r="N462" s="197"/>
      <c r="O462" s="197"/>
      <c r="P462" s="197"/>
      <c r="Q462" s="197"/>
      <c r="R462" s="197"/>
      <c r="S462" s="197"/>
      <c r="T462" s="198"/>
      <c r="U462" s="198"/>
      <c r="V462" s="198"/>
      <c r="W462" s="198"/>
      <c r="X462" s="198"/>
      <c r="Y462" s="198"/>
      <c r="Z462" s="198"/>
      <c r="AA462" s="198"/>
      <c r="AB462" s="198"/>
      <c r="AC462" s="198"/>
      <c r="AD462" s="198"/>
      <c r="AE462" s="198"/>
      <c r="AF462" s="198"/>
      <c r="AG462" s="198"/>
      <c r="AH462" s="198"/>
      <c r="AI462" s="198"/>
      <c r="AJ462" s="198"/>
      <c r="AK462" s="198"/>
      <c r="AL462" s="198"/>
      <c r="AM462" s="198"/>
      <c r="AN462" s="198"/>
      <c r="AO462" s="198"/>
      <c r="AP462" s="198"/>
      <c r="AQ462" s="198"/>
      <c r="AR462" s="198"/>
      <c r="AS462" s="198"/>
      <c r="AT462" s="198"/>
      <c r="AU462" s="198"/>
      <c r="AV462" s="198"/>
      <c r="AW462" s="198"/>
      <c r="AX462" s="198"/>
      <c r="AY462" s="198"/>
      <c r="AZ462" s="198"/>
      <c r="BA462" s="198"/>
      <c r="BB462" s="198"/>
      <c r="BC462" s="198"/>
      <c r="BD462" s="198"/>
      <c r="BE462" s="198"/>
      <c r="BF462" s="198"/>
      <c r="BG462" s="198"/>
      <c r="BH462" s="198"/>
      <c r="BI462" s="198"/>
      <c r="BJ462" s="198"/>
      <c r="BK462" s="198"/>
      <c r="BL462" s="198"/>
      <c r="BM462" s="198"/>
      <c r="BN462" s="198"/>
      <c r="BO462" s="198"/>
      <c r="BP462" s="198"/>
      <c r="BQ462" s="198"/>
      <c r="BR462" s="198"/>
      <c r="BS462" s="198"/>
      <c r="BT462" s="198"/>
      <c r="BU462" s="198"/>
      <c r="BV462" s="198"/>
      <c r="BW462" s="198"/>
      <c r="BX462" s="198"/>
      <c r="BY462" s="198"/>
      <c r="BZ462" s="198"/>
      <c r="CA462" s="198"/>
      <c r="CB462" s="198"/>
      <c r="CC462" s="198"/>
      <c r="CD462" s="198"/>
      <c r="CE462" s="198"/>
      <c r="CF462" s="198"/>
      <c r="CG462" s="198"/>
    </row>
    <row r="463" spans="1:85" s="199" customFormat="1" x14ac:dyDescent="0.25">
      <c r="A463" s="294"/>
      <c r="B463" s="301" t="s">
        <v>324</v>
      </c>
      <c r="C463" s="801"/>
      <c r="D463" s="802"/>
      <c r="E463" s="302"/>
      <c r="F463" s="803"/>
      <c r="G463" s="803"/>
      <c r="H463" s="803"/>
      <c r="I463" s="197"/>
      <c r="J463" s="197"/>
      <c r="K463" s="197"/>
      <c r="L463" s="197"/>
      <c r="M463" s="197"/>
      <c r="N463" s="197"/>
      <c r="O463" s="197"/>
      <c r="P463" s="197"/>
      <c r="Q463" s="197"/>
      <c r="R463" s="197"/>
      <c r="S463" s="197"/>
      <c r="T463" s="198"/>
      <c r="U463" s="198"/>
      <c r="V463" s="198"/>
      <c r="W463" s="198"/>
      <c r="X463" s="198"/>
      <c r="Y463" s="198"/>
      <c r="Z463" s="198"/>
      <c r="AA463" s="198"/>
      <c r="AB463" s="198"/>
      <c r="AC463" s="198"/>
      <c r="AD463" s="198"/>
      <c r="AE463" s="198"/>
      <c r="AF463" s="198"/>
      <c r="AG463" s="198"/>
      <c r="AH463" s="198"/>
      <c r="AI463" s="198"/>
      <c r="AJ463" s="198"/>
      <c r="AK463" s="198"/>
      <c r="AL463" s="198"/>
      <c r="AM463" s="198"/>
      <c r="AN463" s="198"/>
      <c r="AO463" s="198"/>
      <c r="AP463" s="198"/>
      <c r="AQ463" s="198"/>
      <c r="AR463" s="198"/>
      <c r="AS463" s="198"/>
      <c r="AT463" s="198"/>
      <c r="AU463" s="198"/>
      <c r="AV463" s="198"/>
      <c r="AW463" s="198"/>
      <c r="AX463" s="198"/>
      <c r="AY463" s="198"/>
      <c r="AZ463" s="198"/>
      <c r="BA463" s="198"/>
      <c r="BB463" s="198"/>
      <c r="BC463" s="198"/>
      <c r="BD463" s="198"/>
      <c r="BE463" s="198"/>
      <c r="BF463" s="198"/>
      <c r="BG463" s="198"/>
      <c r="BH463" s="198"/>
      <c r="BI463" s="198"/>
      <c r="BJ463" s="198"/>
      <c r="BK463" s="198"/>
      <c r="BL463" s="198"/>
      <c r="BM463" s="198"/>
      <c r="BN463" s="198"/>
      <c r="BO463" s="198"/>
      <c r="BP463" s="198"/>
      <c r="BQ463" s="198"/>
      <c r="BR463" s="198"/>
      <c r="BS463" s="198"/>
      <c r="BT463" s="198"/>
      <c r="BU463" s="198"/>
      <c r="BV463" s="198"/>
      <c r="BW463" s="198"/>
      <c r="BX463" s="198"/>
      <c r="BY463" s="198"/>
      <c r="BZ463" s="198"/>
      <c r="CA463" s="198"/>
      <c r="CB463" s="198"/>
      <c r="CC463" s="198"/>
      <c r="CD463" s="198"/>
      <c r="CE463" s="198"/>
      <c r="CF463" s="198"/>
      <c r="CG463" s="198"/>
    </row>
    <row r="464" spans="1:85" s="199" customFormat="1" x14ac:dyDescent="0.25">
      <c r="A464" s="294"/>
      <c r="B464" s="301"/>
      <c r="C464" s="780"/>
      <c r="D464" s="781"/>
      <c r="E464" s="302"/>
      <c r="F464" s="303"/>
      <c r="G464" s="303"/>
      <c r="H464" s="303"/>
      <c r="I464" s="197"/>
      <c r="J464" s="197"/>
      <c r="K464" s="197"/>
      <c r="L464" s="197"/>
      <c r="M464" s="197"/>
      <c r="N464" s="197"/>
      <c r="O464" s="197"/>
      <c r="P464" s="197"/>
      <c r="Q464" s="197"/>
      <c r="R464" s="197"/>
      <c r="S464" s="197"/>
      <c r="T464" s="198"/>
      <c r="U464" s="198"/>
      <c r="V464" s="198"/>
      <c r="W464" s="198"/>
      <c r="X464" s="198"/>
      <c r="Y464" s="198"/>
      <c r="Z464" s="198"/>
      <c r="AA464" s="198"/>
      <c r="AB464" s="198"/>
      <c r="AC464" s="198"/>
      <c r="AD464" s="198"/>
      <c r="AE464" s="198"/>
      <c r="AF464" s="198"/>
      <c r="AG464" s="198"/>
      <c r="AH464" s="198"/>
      <c r="AI464" s="198"/>
      <c r="AJ464" s="198"/>
      <c r="AK464" s="198"/>
      <c r="AL464" s="198"/>
      <c r="AM464" s="198"/>
      <c r="AN464" s="198"/>
      <c r="AO464" s="198"/>
      <c r="AP464" s="198"/>
      <c r="AQ464" s="198"/>
      <c r="AR464" s="198"/>
      <c r="AS464" s="198"/>
      <c r="AT464" s="198"/>
      <c r="AU464" s="198"/>
      <c r="AV464" s="198"/>
      <c r="AW464" s="198"/>
      <c r="AX464" s="198"/>
      <c r="AY464" s="198"/>
      <c r="AZ464" s="198"/>
      <c r="BA464" s="198"/>
      <c r="BB464" s="198"/>
      <c r="BC464" s="198"/>
      <c r="BD464" s="198"/>
      <c r="BE464" s="198"/>
      <c r="BF464" s="198"/>
      <c r="BG464" s="198"/>
      <c r="BH464" s="198"/>
      <c r="BI464" s="198"/>
      <c r="BJ464" s="198"/>
      <c r="BK464" s="198"/>
      <c r="BL464" s="198"/>
      <c r="BM464" s="198"/>
      <c r="BN464" s="198"/>
      <c r="BO464" s="198"/>
      <c r="BP464" s="198"/>
      <c r="BQ464" s="198"/>
      <c r="BR464" s="198"/>
      <c r="BS464" s="198"/>
      <c r="BT464" s="198"/>
      <c r="BU464" s="198"/>
      <c r="BV464" s="198"/>
      <c r="BW464" s="198"/>
      <c r="BX464" s="198"/>
      <c r="BY464" s="198"/>
      <c r="BZ464" s="198"/>
      <c r="CA464" s="198"/>
      <c r="CB464" s="198"/>
      <c r="CC464" s="198"/>
      <c r="CD464" s="198"/>
      <c r="CE464" s="198"/>
      <c r="CF464" s="198"/>
      <c r="CG464" s="198"/>
    </row>
    <row r="465" spans="1:85" s="199" customFormat="1" ht="15.6" x14ac:dyDescent="0.25">
      <c r="A465" s="829" t="s">
        <v>320</v>
      </c>
      <c r="B465" s="782"/>
      <c r="C465" s="783"/>
      <c r="D465" s="784"/>
      <c r="E465" s="785"/>
      <c r="F465" s="168"/>
      <c r="G465" s="767"/>
      <c r="H465" s="786"/>
      <c r="I465" s="197"/>
      <c r="J465" s="197"/>
      <c r="K465" s="197"/>
      <c r="L465" s="197"/>
      <c r="M465" s="197"/>
      <c r="N465" s="197"/>
      <c r="O465" s="197"/>
      <c r="P465" s="197"/>
      <c r="Q465" s="197"/>
      <c r="R465" s="197"/>
      <c r="S465" s="197"/>
      <c r="T465" s="198"/>
      <c r="U465" s="198"/>
      <c r="V465" s="198"/>
      <c r="W465" s="198"/>
      <c r="X465" s="198"/>
      <c r="Y465" s="198"/>
      <c r="Z465" s="198"/>
      <c r="AA465" s="198"/>
      <c r="AB465" s="198"/>
      <c r="AC465" s="198"/>
      <c r="AD465" s="198"/>
      <c r="AE465" s="198"/>
      <c r="AF465" s="198"/>
      <c r="AG465" s="198"/>
      <c r="AH465" s="198"/>
      <c r="AI465" s="198"/>
      <c r="AJ465" s="198"/>
      <c r="AK465" s="198"/>
      <c r="AL465" s="198"/>
      <c r="AM465" s="198"/>
      <c r="AN465" s="198"/>
      <c r="AO465" s="198"/>
      <c r="AP465" s="198"/>
      <c r="AQ465" s="198"/>
      <c r="AR465" s="198"/>
      <c r="AS465" s="198"/>
      <c r="AT465" s="198"/>
      <c r="AU465" s="198"/>
      <c r="AV465" s="198"/>
      <c r="AW465" s="198"/>
      <c r="AX465" s="198"/>
      <c r="AY465" s="198"/>
      <c r="AZ465" s="198"/>
      <c r="BA465" s="198"/>
      <c r="BB465" s="198"/>
      <c r="BC465" s="198"/>
      <c r="BD465" s="198"/>
      <c r="BE465" s="198"/>
      <c r="BF465" s="198"/>
      <c r="BG465" s="198"/>
      <c r="BH465" s="198"/>
      <c r="BI465" s="198"/>
      <c r="BJ465" s="198"/>
      <c r="BK465" s="198"/>
      <c r="BL465" s="198"/>
      <c r="BM465" s="198"/>
      <c r="BN465" s="198"/>
      <c r="BO465" s="198"/>
      <c r="BP465" s="198"/>
      <c r="BQ465" s="198"/>
      <c r="BR465" s="198"/>
      <c r="BS465" s="198"/>
      <c r="BT465" s="198"/>
      <c r="BU465" s="198"/>
      <c r="BV465" s="198"/>
      <c r="BW465" s="198"/>
      <c r="BX465" s="198"/>
      <c r="BY465" s="198"/>
      <c r="BZ465" s="198"/>
      <c r="CA465" s="198"/>
      <c r="CB465" s="198"/>
      <c r="CC465" s="198"/>
      <c r="CD465" s="198"/>
      <c r="CE465" s="198"/>
      <c r="CF465" s="198"/>
      <c r="CG465" s="198"/>
    </row>
    <row r="466" spans="1:85" s="199" customFormat="1" x14ac:dyDescent="0.25">
      <c r="A466" s="259"/>
      <c r="B466" s="285" t="s">
        <v>487</v>
      </c>
      <c r="C466" s="291"/>
      <c r="D466" s="292"/>
      <c r="E466" s="185"/>
      <c r="F466" s="171"/>
      <c r="G466" s="265"/>
      <c r="H466" s="788"/>
      <c r="I466" s="197"/>
      <c r="J466" s="197"/>
      <c r="K466" s="197"/>
      <c r="L466" s="197"/>
      <c r="M466" s="197"/>
      <c r="N466" s="197"/>
      <c r="O466" s="197"/>
      <c r="P466" s="197"/>
      <c r="Q466" s="197"/>
      <c r="R466" s="197"/>
      <c r="S466" s="198"/>
      <c r="T466" s="198"/>
      <c r="U466" s="198"/>
      <c r="V466" s="198"/>
      <c r="W466" s="198"/>
      <c r="X466" s="198"/>
      <c r="Y466" s="198"/>
      <c r="Z466" s="198"/>
      <c r="AA466" s="198"/>
      <c r="AB466" s="198"/>
      <c r="AC466" s="198"/>
      <c r="AD466" s="198"/>
      <c r="AE466" s="198"/>
      <c r="AF466" s="198"/>
      <c r="AG466" s="198"/>
      <c r="AH466" s="198"/>
      <c r="AI466" s="198"/>
      <c r="AJ466" s="198"/>
      <c r="AK466" s="198"/>
      <c r="AL466" s="198"/>
      <c r="AM466" s="198"/>
      <c r="AN466" s="198"/>
      <c r="AO466" s="198"/>
      <c r="AP466" s="198"/>
      <c r="AQ466" s="198"/>
      <c r="AR466" s="198"/>
      <c r="AS466" s="198"/>
      <c r="AT466" s="198"/>
      <c r="AU466" s="198"/>
      <c r="AV466" s="198"/>
      <c r="AW466" s="198"/>
      <c r="AX466" s="198"/>
      <c r="AY466" s="198"/>
      <c r="AZ466" s="198"/>
      <c r="BA466" s="198"/>
      <c r="BB466" s="198"/>
      <c r="BC466" s="198"/>
      <c r="BD466" s="198"/>
      <c r="BE466" s="198"/>
      <c r="BF466" s="198"/>
      <c r="BG466" s="198"/>
      <c r="BH466" s="198"/>
      <c r="BI466" s="198"/>
      <c r="BJ466" s="198"/>
      <c r="BK466" s="198"/>
      <c r="BL466" s="198"/>
      <c r="BM466" s="198"/>
      <c r="BN466" s="198"/>
      <c r="BO466" s="198"/>
      <c r="BP466" s="198"/>
      <c r="BQ466" s="198"/>
      <c r="BR466" s="198"/>
      <c r="BS466" s="198"/>
      <c r="BT466" s="198"/>
      <c r="BU466" s="198"/>
      <c r="BV466" s="198"/>
      <c r="BW466" s="198"/>
      <c r="BX466" s="198"/>
      <c r="BY466" s="198"/>
      <c r="BZ466" s="198"/>
      <c r="CA466" s="198"/>
      <c r="CB466" s="198"/>
      <c r="CC466" s="198"/>
      <c r="CD466" s="198"/>
      <c r="CE466" s="198"/>
      <c r="CF466" s="198"/>
    </row>
    <row r="467" spans="1:85" s="199" customFormat="1" x14ac:dyDescent="0.25">
      <c r="A467" s="259"/>
      <c r="B467" s="260" t="s">
        <v>488</v>
      </c>
      <c r="C467" s="291"/>
      <c r="D467" s="292"/>
      <c r="E467" s="185"/>
      <c r="F467" s="171"/>
      <c r="G467" s="265"/>
      <c r="H467" s="788"/>
      <c r="I467" s="197"/>
      <c r="J467" s="197"/>
      <c r="K467" s="197"/>
      <c r="L467" s="197"/>
      <c r="M467" s="197"/>
      <c r="N467" s="197"/>
      <c r="O467" s="197"/>
      <c r="P467" s="197"/>
      <c r="Q467" s="197"/>
      <c r="R467" s="197"/>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AN467" s="198"/>
      <c r="AO467" s="198"/>
      <c r="AP467" s="198"/>
      <c r="AQ467" s="198"/>
      <c r="AR467" s="198"/>
      <c r="AS467" s="198"/>
      <c r="AT467" s="198"/>
      <c r="AU467" s="198"/>
      <c r="AV467" s="198"/>
      <c r="AW467" s="198"/>
      <c r="AX467" s="198"/>
      <c r="AY467" s="198"/>
      <c r="AZ467" s="198"/>
      <c r="BA467" s="198"/>
      <c r="BB467" s="198"/>
      <c r="BC467" s="198"/>
      <c r="BD467" s="198"/>
      <c r="BE467" s="198"/>
      <c r="BF467" s="198"/>
      <c r="BG467" s="198"/>
      <c r="BH467" s="198"/>
      <c r="BI467" s="198"/>
      <c r="BJ467" s="198"/>
      <c r="BK467" s="198"/>
      <c r="BL467" s="198"/>
      <c r="BM467" s="198"/>
      <c r="BN467" s="198"/>
      <c r="BO467" s="198"/>
      <c r="BP467" s="198"/>
      <c r="BQ467" s="198"/>
      <c r="BR467" s="198"/>
      <c r="BS467" s="198"/>
      <c r="BT467" s="198"/>
      <c r="BU467" s="198"/>
      <c r="BV467" s="198"/>
      <c r="BW467" s="198"/>
      <c r="BX467" s="198"/>
      <c r="BY467" s="198"/>
      <c r="BZ467" s="198"/>
      <c r="CA467" s="198"/>
      <c r="CB467" s="198"/>
      <c r="CC467" s="198"/>
      <c r="CD467" s="198"/>
      <c r="CE467" s="198"/>
      <c r="CF467" s="198"/>
    </row>
    <row r="468" spans="1:85" s="199" customFormat="1" x14ac:dyDescent="0.25">
      <c r="A468" s="259"/>
      <c r="B468" s="260" t="s">
        <v>489</v>
      </c>
      <c r="C468" s="291"/>
      <c r="D468" s="292"/>
      <c r="E468" s="185"/>
      <c r="F468" s="171"/>
      <c r="G468" s="265"/>
      <c r="H468" s="788"/>
      <c r="I468" s="197"/>
      <c r="J468" s="197"/>
      <c r="K468" s="197"/>
      <c r="L468" s="197"/>
      <c r="M468" s="197"/>
      <c r="N468" s="197"/>
      <c r="O468" s="197"/>
      <c r="P468" s="197"/>
      <c r="Q468" s="197"/>
      <c r="R468" s="197"/>
      <c r="S468" s="198"/>
      <c r="T468" s="198"/>
      <c r="U468" s="198"/>
      <c r="V468" s="198"/>
      <c r="W468" s="198"/>
      <c r="X468" s="198"/>
      <c r="Y468" s="198"/>
      <c r="Z468" s="198"/>
      <c r="AA468" s="198"/>
      <c r="AB468" s="198"/>
      <c r="AC468" s="198"/>
      <c r="AD468" s="198"/>
      <c r="AE468" s="198"/>
      <c r="AF468" s="198"/>
      <c r="AG468" s="198"/>
      <c r="AH468" s="198"/>
      <c r="AI468" s="198"/>
      <c r="AJ468" s="198"/>
      <c r="AK468" s="198"/>
      <c r="AL468" s="198"/>
      <c r="AM468" s="198"/>
      <c r="AN468" s="198"/>
      <c r="AO468" s="198"/>
      <c r="AP468" s="198"/>
      <c r="AQ468" s="198"/>
      <c r="AR468" s="198"/>
      <c r="AS468" s="198"/>
      <c r="AT468" s="198"/>
      <c r="AU468" s="198"/>
      <c r="AV468" s="198"/>
      <c r="AW468" s="198"/>
      <c r="AX468" s="198"/>
      <c r="AY468" s="198"/>
      <c r="AZ468" s="198"/>
      <c r="BA468" s="198"/>
      <c r="BB468" s="198"/>
      <c r="BC468" s="198"/>
      <c r="BD468" s="198"/>
      <c r="BE468" s="198"/>
      <c r="BF468" s="198"/>
      <c r="BG468" s="198"/>
      <c r="BH468" s="198"/>
      <c r="BI468" s="198"/>
      <c r="BJ468" s="198"/>
      <c r="BK468" s="198"/>
      <c r="BL468" s="198"/>
      <c r="BM468" s="198"/>
      <c r="BN468" s="198"/>
      <c r="BO468" s="198"/>
      <c r="BP468" s="198"/>
      <c r="BQ468" s="198"/>
      <c r="BR468" s="198"/>
      <c r="BS468" s="198"/>
      <c r="BT468" s="198"/>
      <c r="BU468" s="198"/>
      <c r="BV468" s="198"/>
      <c r="BW468" s="198"/>
      <c r="BX468" s="198"/>
      <c r="BY468" s="198"/>
      <c r="BZ468" s="198"/>
      <c r="CA468" s="198"/>
      <c r="CB468" s="198"/>
      <c r="CC468" s="198"/>
      <c r="CD468" s="198"/>
      <c r="CE468" s="198"/>
      <c r="CF468" s="198"/>
    </row>
    <row r="469" spans="1:85" s="199" customFormat="1" x14ac:dyDescent="0.25">
      <c r="A469" s="259"/>
      <c r="B469" s="260" t="s">
        <v>490</v>
      </c>
      <c r="C469" s="291"/>
      <c r="D469" s="292"/>
      <c r="E469" s="185"/>
      <c r="F469" s="171"/>
      <c r="G469" s="265"/>
      <c r="H469" s="788"/>
      <c r="I469" s="197"/>
      <c r="J469" s="197"/>
      <c r="K469" s="197"/>
      <c r="L469" s="197"/>
      <c r="M469" s="197"/>
      <c r="N469" s="197"/>
      <c r="O469" s="197"/>
      <c r="P469" s="197"/>
      <c r="Q469" s="197"/>
      <c r="R469" s="197"/>
      <c r="S469" s="198"/>
      <c r="T469" s="198"/>
      <c r="U469" s="198"/>
      <c r="V469" s="198"/>
      <c r="W469" s="198"/>
      <c r="X469" s="198"/>
      <c r="Y469" s="198"/>
      <c r="Z469" s="198"/>
      <c r="AA469" s="198"/>
      <c r="AB469" s="198"/>
      <c r="AC469" s="198"/>
      <c r="AD469" s="198"/>
      <c r="AE469" s="198"/>
      <c r="AF469" s="198"/>
      <c r="AG469" s="198"/>
      <c r="AH469" s="198"/>
      <c r="AI469" s="198"/>
      <c r="AJ469" s="198"/>
      <c r="AK469" s="198"/>
      <c r="AL469" s="198"/>
      <c r="AM469" s="198"/>
      <c r="AN469" s="198"/>
      <c r="AO469" s="198"/>
      <c r="AP469" s="198"/>
      <c r="AQ469" s="198"/>
      <c r="AR469" s="198"/>
      <c r="AS469" s="198"/>
      <c r="AT469" s="198"/>
      <c r="AU469" s="198"/>
      <c r="AV469" s="198"/>
      <c r="AW469" s="198"/>
      <c r="AX469" s="198"/>
      <c r="AY469" s="198"/>
      <c r="AZ469" s="198"/>
      <c r="BA469" s="198"/>
      <c r="BB469" s="198"/>
      <c r="BC469" s="198"/>
      <c r="BD469" s="198"/>
      <c r="BE469" s="198"/>
      <c r="BF469" s="198"/>
      <c r="BG469" s="198"/>
      <c r="BH469" s="198"/>
      <c r="BI469" s="198"/>
      <c r="BJ469" s="198"/>
      <c r="BK469" s="198"/>
      <c r="BL469" s="198"/>
      <c r="BM469" s="198"/>
      <c r="BN469" s="198"/>
      <c r="BO469" s="198"/>
      <c r="BP469" s="198"/>
      <c r="BQ469" s="198"/>
      <c r="BR469" s="198"/>
      <c r="BS469" s="198"/>
      <c r="BT469" s="198"/>
      <c r="BU469" s="198"/>
      <c r="BV469" s="198"/>
      <c r="BW469" s="198"/>
      <c r="BX469" s="198"/>
      <c r="BY469" s="198"/>
      <c r="BZ469" s="198"/>
      <c r="CA469" s="198"/>
      <c r="CB469" s="198"/>
      <c r="CC469" s="198"/>
      <c r="CD469" s="198"/>
      <c r="CE469" s="198"/>
      <c r="CF469" s="198"/>
    </row>
    <row r="470" spans="1:85" s="199" customFormat="1" x14ac:dyDescent="0.25">
      <c r="A470" s="259"/>
      <c r="B470" s="260" t="s">
        <v>491</v>
      </c>
      <c r="C470" s="291"/>
      <c r="D470" s="292"/>
      <c r="E470" s="185"/>
      <c r="F470" s="171"/>
      <c r="G470" s="265"/>
      <c r="H470" s="788"/>
      <c r="I470" s="197"/>
      <c r="J470" s="197"/>
      <c r="K470" s="197"/>
      <c r="L470" s="197"/>
      <c r="M470" s="197"/>
      <c r="N470" s="197"/>
      <c r="O470" s="197"/>
      <c r="P470" s="197"/>
      <c r="Q470" s="197"/>
      <c r="R470" s="197"/>
      <c r="S470" s="198"/>
      <c r="T470" s="198"/>
      <c r="U470" s="198"/>
      <c r="V470" s="198"/>
      <c r="W470" s="198"/>
      <c r="X470" s="198"/>
      <c r="Y470" s="198"/>
      <c r="Z470" s="198"/>
      <c r="AA470" s="198"/>
      <c r="AB470" s="198"/>
      <c r="AC470" s="198"/>
      <c r="AD470" s="198"/>
      <c r="AE470" s="198"/>
      <c r="AF470" s="198"/>
      <c r="AG470" s="198"/>
      <c r="AH470" s="198"/>
      <c r="AI470" s="198"/>
      <c r="AJ470" s="198"/>
      <c r="AK470" s="198"/>
      <c r="AL470" s="198"/>
      <c r="AM470" s="198"/>
      <c r="AN470" s="198"/>
      <c r="AO470" s="198"/>
      <c r="AP470" s="198"/>
      <c r="AQ470" s="198"/>
      <c r="AR470" s="198"/>
      <c r="AS470" s="198"/>
      <c r="AT470" s="198"/>
      <c r="AU470" s="198"/>
      <c r="AV470" s="198"/>
      <c r="AW470" s="198"/>
      <c r="AX470" s="198"/>
      <c r="AY470" s="198"/>
      <c r="AZ470" s="198"/>
      <c r="BA470" s="198"/>
      <c r="BB470" s="198"/>
      <c r="BC470" s="198"/>
      <c r="BD470" s="198"/>
      <c r="BE470" s="198"/>
      <c r="BF470" s="198"/>
      <c r="BG470" s="198"/>
      <c r="BH470" s="198"/>
      <c r="BI470" s="198"/>
      <c r="BJ470" s="198"/>
      <c r="BK470" s="198"/>
      <c r="BL470" s="198"/>
      <c r="BM470" s="198"/>
      <c r="BN470" s="198"/>
      <c r="BO470" s="198"/>
      <c r="BP470" s="198"/>
      <c r="BQ470" s="198"/>
      <c r="BR470" s="198"/>
      <c r="BS470" s="198"/>
      <c r="BT470" s="198"/>
      <c r="BU470" s="198"/>
      <c r="BV470" s="198"/>
      <c r="BW470" s="198"/>
      <c r="BX470" s="198"/>
      <c r="BY470" s="198"/>
      <c r="BZ470" s="198"/>
      <c r="CA470" s="198"/>
      <c r="CB470" s="198"/>
      <c r="CC470" s="198"/>
      <c r="CD470" s="198"/>
      <c r="CE470" s="198"/>
      <c r="CF470" s="198"/>
    </row>
    <row r="471" spans="1:85" s="199" customFormat="1" x14ac:dyDescent="0.25">
      <c r="A471" s="259"/>
      <c r="B471" s="260" t="s">
        <v>318</v>
      </c>
      <c r="C471" s="291"/>
      <c r="D471" s="292"/>
      <c r="E471" s="185"/>
      <c r="F471" s="171"/>
      <c r="G471" s="265"/>
      <c r="H471" s="788"/>
      <c r="I471" s="197"/>
      <c r="J471" s="197"/>
      <c r="K471" s="197"/>
      <c r="L471" s="197"/>
      <c r="M471" s="197"/>
      <c r="N471" s="197"/>
      <c r="O471" s="197"/>
      <c r="P471" s="197"/>
      <c r="Q471" s="197"/>
      <c r="R471" s="197"/>
      <c r="S471" s="198"/>
      <c r="T471" s="198"/>
      <c r="U471" s="198"/>
      <c r="V471" s="198"/>
      <c r="W471" s="198"/>
      <c r="X471" s="198"/>
      <c r="Y471" s="198"/>
      <c r="Z471" s="198"/>
      <c r="AA471" s="198"/>
      <c r="AB471" s="198"/>
      <c r="AC471" s="198"/>
      <c r="AD471" s="198"/>
      <c r="AE471" s="198"/>
      <c r="AF471" s="198"/>
      <c r="AG471" s="198"/>
      <c r="AH471" s="198"/>
      <c r="AI471" s="198"/>
      <c r="AJ471" s="198"/>
      <c r="AK471" s="198"/>
      <c r="AL471" s="198"/>
      <c r="AM471" s="198"/>
      <c r="AN471" s="198"/>
      <c r="AO471" s="198"/>
      <c r="AP471" s="198"/>
      <c r="AQ471" s="198"/>
      <c r="AR471" s="198"/>
      <c r="AS471" s="198"/>
      <c r="AT471" s="198"/>
      <c r="AU471" s="198"/>
      <c r="AV471" s="198"/>
      <c r="AW471" s="198"/>
      <c r="AX471" s="198"/>
      <c r="AY471" s="198"/>
      <c r="AZ471" s="198"/>
      <c r="BA471" s="198"/>
      <c r="BB471" s="198"/>
      <c r="BC471" s="198"/>
      <c r="BD471" s="198"/>
      <c r="BE471" s="198"/>
      <c r="BF471" s="198"/>
      <c r="BG471" s="198"/>
      <c r="BH471" s="198"/>
      <c r="BI471" s="198"/>
      <c r="BJ471" s="198"/>
      <c r="BK471" s="198"/>
      <c r="BL471" s="198"/>
      <c r="BM471" s="198"/>
      <c r="BN471" s="198"/>
      <c r="BO471" s="198"/>
      <c r="BP471" s="198"/>
      <c r="BQ471" s="198"/>
      <c r="BR471" s="198"/>
      <c r="BS471" s="198"/>
      <c r="BT471" s="198"/>
      <c r="BU471" s="198"/>
      <c r="BV471" s="198"/>
      <c r="BW471" s="198"/>
      <c r="BX471" s="198"/>
      <c r="BY471" s="198"/>
      <c r="BZ471" s="198"/>
      <c r="CA471" s="198"/>
      <c r="CB471" s="198"/>
      <c r="CC471" s="198"/>
      <c r="CD471" s="198"/>
      <c r="CE471" s="198"/>
      <c r="CF471" s="198"/>
    </row>
    <row r="472" spans="1:85" s="199" customFormat="1" x14ac:dyDescent="0.25">
      <c r="A472" s="259"/>
      <c r="B472" s="260" t="s">
        <v>492</v>
      </c>
      <c r="C472" s="291"/>
      <c r="D472" s="292"/>
      <c r="E472" s="185"/>
      <c r="F472" s="171"/>
      <c r="G472" s="265"/>
      <c r="H472" s="788"/>
      <c r="I472" s="197"/>
      <c r="J472" s="197"/>
      <c r="K472" s="197"/>
      <c r="L472" s="197"/>
      <c r="M472" s="197"/>
      <c r="N472" s="197"/>
      <c r="O472" s="197"/>
      <c r="P472" s="197"/>
      <c r="Q472" s="197"/>
      <c r="R472" s="197"/>
      <c r="S472" s="198"/>
      <c r="T472" s="198"/>
      <c r="U472" s="198"/>
      <c r="V472" s="198"/>
      <c r="W472" s="198"/>
      <c r="X472" s="198"/>
      <c r="Y472" s="198"/>
      <c r="Z472" s="198"/>
      <c r="AA472" s="198"/>
      <c r="AB472" s="198"/>
      <c r="AC472" s="198"/>
      <c r="AD472" s="198"/>
      <c r="AE472" s="198"/>
      <c r="AF472" s="198"/>
      <c r="AG472" s="198"/>
      <c r="AH472" s="198"/>
      <c r="AI472" s="198"/>
      <c r="AJ472" s="198"/>
      <c r="AK472" s="198"/>
      <c r="AL472" s="198"/>
      <c r="AM472" s="198"/>
      <c r="AN472" s="198"/>
      <c r="AO472" s="198"/>
      <c r="AP472" s="198"/>
      <c r="AQ472" s="198"/>
      <c r="AR472" s="198"/>
      <c r="AS472" s="198"/>
      <c r="AT472" s="198"/>
      <c r="AU472" s="198"/>
      <c r="AV472" s="198"/>
      <c r="AW472" s="198"/>
      <c r="AX472" s="198"/>
      <c r="AY472" s="198"/>
      <c r="AZ472" s="198"/>
      <c r="BA472" s="198"/>
      <c r="BB472" s="198"/>
      <c r="BC472" s="198"/>
      <c r="BD472" s="198"/>
      <c r="BE472" s="198"/>
      <c r="BF472" s="198"/>
      <c r="BG472" s="198"/>
      <c r="BH472" s="198"/>
      <c r="BI472" s="198"/>
      <c r="BJ472" s="198"/>
      <c r="BK472" s="198"/>
      <c r="BL472" s="198"/>
      <c r="BM472" s="198"/>
      <c r="BN472" s="198"/>
      <c r="BO472" s="198"/>
      <c r="BP472" s="198"/>
      <c r="BQ472" s="198"/>
      <c r="BR472" s="198"/>
      <c r="BS472" s="198"/>
      <c r="BT472" s="198"/>
      <c r="BU472" s="198"/>
      <c r="BV472" s="198"/>
      <c r="BW472" s="198"/>
      <c r="BX472" s="198"/>
      <c r="BY472" s="198"/>
      <c r="BZ472" s="198"/>
      <c r="CA472" s="198"/>
      <c r="CB472" s="198"/>
      <c r="CC472" s="198"/>
      <c r="CD472" s="198"/>
      <c r="CE472" s="198"/>
      <c r="CF472" s="198"/>
    </row>
    <row r="473" spans="1:85" s="199" customFormat="1" x14ac:dyDescent="0.25">
      <c r="A473" s="259"/>
      <c r="B473" s="260" t="s">
        <v>493</v>
      </c>
      <c r="C473" s="291"/>
      <c r="D473" s="292"/>
      <c r="E473" s="185"/>
      <c r="F473" s="171"/>
      <c r="G473" s="265"/>
      <c r="H473" s="788"/>
      <c r="I473" s="197"/>
      <c r="J473" s="197"/>
      <c r="K473" s="197"/>
      <c r="L473" s="197"/>
      <c r="M473" s="197"/>
      <c r="N473" s="197"/>
      <c r="O473" s="197"/>
      <c r="P473" s="197"/>
      <c r="Q473" s="197"/>
      <c r="R473" s="197"/>
      <c r="S473" s="198"/>
      <c r="T473" s="198"/>
      <c r="U473" s="198"/>
      <c r="V473" s="198"/>
      <c r="W473" s="198"/>
      <c r="X473" s="198"/>
      <c r="Y473" s="198"/>
      <c r="Z473" s="198"/>
      <c r="AA473" s="198"/>
      <c r="AB473" s="198"/>
      <c r="AC473" s="198"/>
      <c r="AD473" s="198"/>
      <c r="AE473" s="198"/>
      <c r="AF473" s="198"/>
      <c r="AG473" s="198"/>
      <c r="AH473" s="198"/>
      <c r="AI473" s="198"/>
      <c r="AJ473" s="198"/>
      <c r="AK473" s="198"/>
      <c r="AL473" s="198"/>
      <c r="AM473" s="198"/>
      <c r="AN473" s="198"/>
      <c r="AO473" s="198"/>
      <c r="AP473" s="198"/>
      <c r="AQ473" s="198"/>
      <c r="AR473" s="198"/>
      <c r="AS473" s="198"/>
      <c r="AT473" s="198"/>
      <c r="AU473" s="198"/>
      <c r="AV473" s="198"/>
      <c r="AW473" s="198"/>
      <c r="AX473" s="198"/>
      <c r="AY473" s="198"/>
      <c r="AZ473" s="198"/>
      <c r="BA473" s="198"/>
      <c r="BB473" s="198"/>
      <c r="BC473" s="198"/>
      <c r="BD473" s="198"/>
      <c r="BE473" s="198"/>
      <c r="BF473" s="198"/>
      <c r="BG473" s="198"/>
      <c r="BH473" s="198"/>
      <c r="BI473" s="198"/>
      <c r="BJ473" s="198"/>
      <c r="BK473" s="198"/>
      <c r="BL473" s="198"/>
      <c r="BM473" s="198"/>
      <c r="BN473" s="198"/>
      <c r="BO473" s="198"/>
      <c r="BP473" s="198"/>
      <c r="BQ473" s="198"/>
      <c r="BR473" s="198"/>
      <c r="BS473" s="198"/>
      <c r="BT473" s="198"/>
      <c r="BU473" s="198"/>
      <c r="BV473" s="198"/>
      <c r="BW473" s="198"/>
      <c r="BX473" s="198"/>
      <c r="BY473" s="198"/>
      <c r="BZ473" s="198"/>
      <c r="CA473" s="198"/>
      <c r="CB473" s="198"/>
      <c r="CC473" s="198"/>
      <c r="CD473" s="198"/>
      <c r="CE473" s="198"/>
      <c r="CF473" s="198"/>
    </row>
    <row r="474" spans="1:85" s="199" customFormat="1" x14ac:dyDescent="0.25">
      <c r="A474" s="259"/>
      <c r="B474" s="301" t="s">
        <v>494</v>
      </c>
      <c r="C474" s="291"/>
      <c r="D474" s="292"/>
      <c r="E474" s="185"/>
      <c r="F474" s="171"/>
      <c r="G474" s="265"/>
      <c r="H474" s="788"/>
      <c r="I474" s="197"/>
      <c r="J474" s="197"/>
      <c r="K474" s="197"/>
      <c r="L474" s="197"/>
      <c r="M474" s="197"/>
      <c r="N474" s="197"/>
      <c r="O474" s="197"/>
      <c r="P474" s="197"/>
      <c r="Q474" s="197"/>
      <c r="R474" s="197"/>
      <c r="S474" s="198"/>
      <c r="T474" s="198"/>
      <c r="U474" s="198"/>
      <c r="V474" s="198"/>
      <c r="W474" s="198"/>
      <c r="X474" s="198"/>
      <c r="Y474" s="198"/>
      <c r="Z474" s="198"/>
      <c r="AA474" s="198"/>
      <c r="AB474" s="198"/>
      <c r="AC474" s="198"/>
      <c r="AD474" s="198"/>
      <c r="AE474" s="198"/>
      <c r="AF474" s="198"/>
      <c r="AG474" s="198"/>
      <c r="AH474" s="198"/>
      <c r="AI474" s="198"/>
      <c r="AJ474" s="198"/>
      <c r="AK474" s="198"/>
      <c r="AL474" s="198"/>
      <c r="AM474" s="198"/>
      <c r="AN474" s="198"/>
      <c r="AO474" s="198"/>
      <c r="AP474" s="198"/>
      <c r="AQ474" s="198"/>
      <c r="AR474" s="198"/>
      <c r="AS474" s="198"/>
      <c r="AT474" s="198"/>
      <c r="AU474" s="198"/>
      <c r="AV474" s="198"/>
      <c r="AW474" s="198"/>
      <c r="AX474" s="198"/>
      <c r="AY474" s="198"/>
      <c r="AZ474" s="198"/>
      <c r="BA474" s="198"/>
      <c r="BB474" s="198"/>
      <c r="BC474" s="198"/>
      <c r="BD474" s="198"/>
      <c r="BE474" s="198"/>
      <c r="BF474" s="198"/>
      <c r="BG474" s="198"/>
      <c r="BH474" s="198"/>
      <c r="BI474" s="198"/>
      <c r="BJ474" s="198"/>
      <c r="BK474" s="198"/>
      <c r="BL474" s="198"/>
      <c r="BM474" s="198"/>
      <c r="BN474" s="198"/>
      <c r="BO474" s="198"/>
      <c r="BP474" s="198"/>
      <c r="BQ474" s="198"/>
      <c r="BR474" s="198"/>
      <c r="BS474" s="198"/>
      <c r="BT474" s="198"/>
      <c r="BU474" s="198"/>
      <c r="BV474" s="198"/>
      <c r="BW474" s="198"/>
      <c r="BX474" s="198"/>
      <c r="BY474" s="198"/>
      <c r="BZ474" s="198"/>
      <c r="CA474" s="198"/>
      <c r="CB474" s="198"/>
      <c r="CC474" s="198"/>
      <c r="CD474" s="198"/>
      <c r="CE474" s="198"/>
      <c r="CF474" s="198"/>
    </row>
    <row r="475" spans="1:85" s="199" customFormat="1" x14ac:dyDescent="0.25">
      <c r="A475" s="259"/>
      <c r="B475" s="260" t="s">
        <v>319</v>
      </c>
      <c r="C475" s="291"/>
      <c r="D475" s="292"/>
      <c r="E475" s="185"/>
      <c r="F475" s="171"/>
      <c r="G475" s="265"/>
      <c r="H475" s="788"/>
      <c r="I475" s="197"/>
      <c r="J475" s="197"/>
      <c r="K475" s="197"/>
      <c r="L475" s="197"/>
      <c r="M475" s="197"/>
      <c r="N475" s="197"/>
      <c r="O475" s="197"/>
      <c r="P475" s="197"/>
      <c r="Q475" s="197"/>
      <c r="R475" s="197"/>
      <c r="S475" s="198"/>
      <c r="T475" s="198"/>
      <c r="U475" s="198"/>
      <c r="V475" s="198"/>
      <c r="W475" s="198"/>
      <c r="X475" s="198"/>
      <c r="Y475" s="198"/>
      <c r="Z475" s="198"/>
      <c r="AA475" s="198"/>
      <c r="AB475" s="198"/>
      <c r="AC475" s="198"/>
      <c r="AD475" s="198"/>
      <c r="AE475" s="198"/>
      <c r="AF475" s="198"/>
      <c r="AG475" s="198"/>
      <c r="AH475" s="198"/>
      <c r="AI475" s="198"/>
      <c r="AJ475" s="198"/>
      <c r="AK475" s="198"/>
      <c r="AL475" s="198"/>
      <c r="AM475" s="198"/>
      <c r="AN475" s="198"/>
      <c r="AO475" s="198"/>
      <c r="AP475" s="198"/>
      <c r="AQ475" s="198"/>
      <c r="AR475" s="198"/>
      <c r="AS475" s="198"/>
      <c r="AT475" s="198"/>
      <c r="AU475" s="198"/>
      <c r="AV475" s="198"/>
      <c r="AW475" s="198"/>
      <c r="AX475" s="198"/>
      <c r="AY475" s="198"/>
      <c r="AZ475" s="198"/>
      <c r="BA475" s="198"/>
      <c r="BB475" s="198"/>
      <c r="BC475" s="198"/>
      <c r="BD475" s="198"/>
      <c r="BE475" s="198"/>
      <c r="BF475" s="198"/>
      <c r="BG475" s="198"/>
      <c r="BH475" s="198"/>
      <c r="BI475" s="198"/>
      <c r="BJ475" s="198"/>
      <c r="BK475" s="198"/>
      <c r="BL475" s="198"/>
      <c r="BM475" s="198"/>
      <c r="BN475" s="198"/>
      <c r="BO475" s="198"/>
      <c r="BP475" s="198"/>
      <c r="BQ475" s="198"/>
      <c r="BR475" s="198"/>
      <c r="BS475" s="198"/>
      <c r="BT475" s="198"/>
      <c r="BU475" s="198"/>
      <c r="BV475" s="198"/>
      <c r="BW475" s="198"/>
      <c r="BX475" s="198"/>
      <c r="BY475" s="198"/>
      <c r="BZ475" s="198"/>
      <c r="CA475" s="198"/>
      <c r="CB475" s="198"/>
      <c r="CC475" s="198"/>
      <c r="CD475" s="198"/>
      <c r="CE475" s="198"/>
      <c r="CF475" s="198"/>
    </row>
    <row r="476" spans="1:85" s="199" customFormat="1" x14ac:dyDescent="0.25">
      <c r="A476" s="259"/>
      <c r="B476" s="301" t="s">
        <v>324</v>
      </c>
      <c r="C476" s="291"/>
      <c r="D476" s="292"/>
      <c r="E476" s="185"/>
      <c r="F476" s="171"/>
      <c r="G476" s="265"/>
      <c r="H476" s="788"/>
      <c r="I476" s="197"/>
      <c r="J476" s="197"/>
      <c r="K476" s="197"/>
      <c r="L476" s="197"/>
      <c r="M476" s="197"/>
      <c r="N476" s="197"/>
      <c r="O476" s="197"/>
      <c r="P476" s="197"/>
      <c r="Q476" s="197"/>
      <c r="R476" s="197"/>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198"/>
      <c r="AN476" s="198"/>
      <c r="AO476" s="198"/>
      <c r="AP476" s="198"/>
      <c r="AQ476" s="198"/>
      <c r="AR476" s="198"/>
      <c r="AS476" s="198"/>
      <c r="AT476" s="198"/>
      <c r="AU476" s="198"/>
      <c r="AV476" s="198"/>
      <c r="AW476" s="198"/>
      <c r="AX476" s="198"/>
      <c r="AY476" s="198"/>
      <c r="AZ476" s="198"/>
      <c r="BA476" s="198"/>
      <c r="BB476" s="198"/>
      <c r="BC476" s="198"/>
      <c r="BD476" s="198"/>
      <c r="BE476" s="198"/>
      <c r="BF476" s="198"/>
      <c r="BG476" s="198"/>
      <c r="BH476" s="198"/>
      <c r="BI476" s="198"/>
      <c r="BJ476" s="198"/>
      <c r="BK476" s="198"/>
      <c r="BL476" s="198"/>
      <c r="BM476" s="198"/>
      <c r="BN476" s="198"/>
      <c r="BO476" s="198"/>
      <c r="BP476" s="198"/>
      <c r="BQ476" s="198"/>
      <c r="BR476" s="198"/>
      <c r="BS476" s="198"/>
      <c r="BT476" s="198"/>
      <c r="BU476" s="198"/>
      <c r="BV476" s="198"/>
      <c r="BW476" s="198"/>
      <c r="BX476" s="198"/>
      <c r="BY476" s="198"/>
      <c r="BZ476" s="198"/>
      <c r="CA476" s="198"/>
      <c r="CB476" s="198"/>
      <c r="CC476" s="198"/>
      <c r="CD476" s="198"/>
      <c r="CE476" s="198"/>
      <c r="CF476" s="198"/>
    </row>
    <row r="477" spans="1:85" s="199" customFormat="1" x14ac:dyDescent="0.25">
      <c r="A477" s="800"/>
      <c r="B477" s="301"/>
      <c r="C477" s="801"/>
      <c r="D477" s="802"/>
      <c r="E477" s="302"/>
      <c r="F477" s="803"/>
      <c r="G477" s="803"/>
      <c r="H477" s="804"/>
      <c r="I477" s="197"/>
      <c r="J477" s="197"/>
      <c r="K477" s="197"/>
      <c r="L477" s="197"/>
      <c r="M477" s="197"/>
      <c r="N477" s="197"/>
      <c r="O477" s="197"/>
      <c r="P477" s="197"/>
      <c r="Q477" s="197"/>
      <c r="R477" s="197"/>
      <c r="S477" s="197"/>
      <c r="T477" s="198"/>
      <c r="U477" s="198"/>
      <c r="V477" s="198"/>
      <c r="W477" s="198"/>
      <c r="X477" s="198"/>
      <c r="Y477" s="198"/>
      <c r="Z477" s="198"/>
      <c r="AA477" s="198"/>
      <c r="AB477" s="198"/>
      <c r="AC477" s="198"/>
      <c r="AD477" s="198"/>
      <c r="AE477" s="198"/>
      <c r="AF477" s="198"/>
      <c r="AG477" s="198"/>
      <c r="AH477" s="198"/>
      <c r="AI477" s="198"/>
      <c r="AJ477" s="198"/>
      <c r="AK477" s="198"/>
      <c r="AL477" s="198"/>
      <c r="AM477" s="198"/>
      <c r="AN477" s="198"/>
      <c r="AO477" s="198"/>
      <c r="AP477" s="198"/>
      <c r="AQ477" s="198"/>
      <c r="AR477" s="198"/>
      <c r="AS477" s="198"/>
      <c r="AT477" s="198"/>
      <c r="AU477" s="198"/>
      <c r="AV477" s="198"/>
      <c r="AW477" s="198"/>
      <c r="AX477" s="198"/>
      <c r="AY477" s="198"/>
      <c r="AZ477" s="198"/>
      <c r="BA477" s="198"/>
      <c r="BB477" s="198"/>
      <c r="BC477" s="198"/>
      <c r="BD477" s="198"/>
      <c r="BE477" s="198"/>
      <c r="BF477" s="198"/>
      <c r="BG477" s="198"/>
      <c r="BH477" s="198"/>
      <c r="BI477" s="198"/>
      <c r="BJ477" s="198"/>
      <c r="BK477" s="198"/>
      <c r="BL477" s="198"/>
      <c r="BM477" s="198"/>
      <c r="BN477" s="198"/>
      <c r="BO477" s="198"/>
      <c r="BP477" s="198"/>
      <c r="BQ477" s="198"/>
      <c r="BR477" s="198"/>
      <c r="BS477" s="198"/>
      <c r="BT477" s="198"/>
      <c r="BU477" s="198"/>
      <c r="BV477" s="198"/>
      <c r="BW477" s="198"/>
      <c r="BX477" s="198"/>
      <c r="BY477" s="198"/>
      <c r="BZ477" s="198"/>
      <c r="CA477" s="198"/>
      <c r="CB477" s="198"/>
      <c r="CC477" s="198"/>
      <c r="CD477" s="198"/>
      <c r="CE477" s="198"/>
      <c r="CF477" s="198"/>
      <c r="CG477" s="198"/>
    </row>
    <row r="478" spans="1:85" s="199" customFormat="1" x14ac:dyDescent="0.25">
      <c r="A478" s="790"/>
      <c r="B478" s="791"/>
      <c r="C478" s="812"/>
      <c r="D478" s="813"/>
      <c r="E478" s="792"/>
      <c r="F478" s="814"/>
      <c r="G478" s="814"/>
      <c r="H478" s="815"/>
      <c r="I478" s="197"/>
      <c r="J478" s="197"/>
      <c r="K478" s="197"/>
      <c r="L478" s="197"/>
      <c r="M478" s="197"/>
      <c r="N478" s="197"/>
      <c r="O478" s="197"/>
      <c r="P478" s="197"/>
      <c r="Q478" s="197"/>
      <c r="R478" s="197"/>
      <c r="S478" s="197"/>
      <c r="T478" s="198"/>
      <c r="U478" s="198"/>
      <c r="V478" s="198"/>
      <c r="W478" s="198"/>
      <c r="X478" s="198"/>
      <c r="Y478" s="198"/>
      <c r="Z478" s="198"/>
      <c r="AA478" s="198"/>
      <c r="AB478" s="198"/>
      <c r="AC478" s="198"/>
      <c r="AD478" s="198"/>
      <c r="AE478" s="198"/>
      <c r="AF478" s="198"/>
      <c r="AG478" s="198"/>
      <c r="AH478" s="198"/>
      <c r="AI478" s="198"/>
      <c r="AJ478" s="198"/>
      <c r="AK478" s="198"/>
      <c r="AL478" s="198"/>
      <c r="AM478" s="198"/>
      <c r="AN478" s="198"/>
      <c r="AO478" s="198"/>
      <c r="AP478" s="198"/>
      <c r="AQ478" s="198"/>
      <c r="AR478" s="198"/>
      <c r="AS478" s="198"/>
      <c r="AT478" s="198"/>
      <c r="AU478" s="198"/>
      <c r="AV478" s="198"/>
      <c r="AW478" s="198"/>
      <c r="AX478" s="198"/>
      <c r="AY478" s="198"/>
      <c r="AZ478" s="198"/>
      <c r="BA478" s="198"/>
      <c r="BB478" s="198"/>
      <c r="BC478" s="198"/>
      <c r="BD478" s="198"/>
      <c r="BE478" s="198"/>
      <c r="BF478" s="198"/>
      <c r="BG478" s="198"/>
      <c r="BH478" s="198"/>
      <c r="BI478" s="198"/>
      <c r="BJ478" s="198"/>
      <c r="BK478" s="198"/>
      <c r="BL478" s="198"/>
      <c r="BM478" s="198"/>
      <c r="BN478" s="198"/>
      <c r="BO478" s="198"/>
      <c r="BP478" s="198"/>
      <c r="BQ478" s="198"/>
      <c r="BR478" s="198"/>
      <c r="BS478" s="198"/>
      <c r="BT478" s="198"/>
      <c r="BU478" s="198"/>
      <c r="BV478" s="198"/>
      <c r="BW478" s="198"/>
      <c r="BX478" s="198"/>
      <c r="BY478" s="198"/>
      <c r="BZ478" s="198"/>
      <c r="CA478" s="198"/>
      <c r="CB478" s="198"/>
      <c r="CC478" s="198"/>
      <c r="CD478" s="198"/>
      <c r="CE478" s="198"/>
      <c r="CF478" s="198"/>
      <c r="CG478" s="198"/>
    </row>
    <row r="479" spans="1:85" s="199" customFormat="1" ht="15.6" x14ac:dyDescent="0.25">
      <c r="A479" s="830" t="s">
        <v>326</v>
      </c>
      <c r="B479" s="806"/>
      <c r="C479" s="807"/>
      <c r="D479" s="808"/>
      <c r="E479" s="809"/>
      <c r="F479" s="810"/>
      <c r="G479" s="810"/>
      <c r="H479" s="811"/>
      <c r="I479" s="197"/>
      <c r="J479" s="197"/>
      <c r="K479" s="197"/>
      <c r="L479" s="197"/>
      <c r="M479" s="197"/>
      <c r="N479" s="197"/>
      <c r="O479" s="197"/>
      <c r="P479" s="197"/>
      <c r="Q479" s="197"/>
      <c r="R479" s="197"/>
      <c r="S479" s="197"/>
      <c r="T479" s="198"/>
      <c r="U479" s="198"/>
      <c r="V479" s="198"/>
      <c r="W479" s="198"/>
      <c r="X479" s="198"/>
      <c r="Y479" s="198"/>
      <c r="Z479" s="198"/>
      <c r="AA479" s="198"/>
      <c r="AB479" s="198"/>
      <c r="AC479" s="198"/>
      <c r="AD479" s="198"/>
      <c r="AE479" s="198"/>
      <c r="AF479" s="198"/>
      <c r="AG479" s="198"/>
      <c r="AH479" s="198"/>
      <c r="AI479" s="198"/>
      <c r="AJ479" s="198"/>
      <c r="AK479" s="198"/>
      <c r="AL479" s="198"/>
      <c r="AM479" s="198"/>
      <c r="AN479" s="198"/>
      <c r="AO479" s="198"/>
      <c r="AP479" s="198"/>
      <c r="AQ479" s="198"/>
      <c r="AR479" s="198"/>
      <c r="AS479" s="198"/>
      <c r="AT479" s="198"/>
      <c r="AU479" s="198"/>
      <c r="AV479" s="198"/>
      <c r="AW479" s="198"/>
      <c r="AX479" s="198"/>
      <c r="AY479" s="198"/>
      <c r="AZ479" s="198"/>
      <c r="BA479" s="198"/>
      <c r="BB479" s="198"/>
      <c r="BC479" s="198"/>
      <c r="BD479" s="198"/>
      <c r="BE479" s="198"/>
      <c r="BF479" s="198"/>
      <c r="BG479" s="198"/>
      <c r="BH479" s="198"/>
      <c r="BI479" s="198"/>
      <c r="BJ479" s="198"/>
      <c r="BK479" s="198"/>
      <c r="BL479" s="198"/>
      <c r="BM479" s="198"/>
      <c r="BN479" s="198"/>
      <c r="BO479" s="198"/>
      <c r="BP479" s="198"/>
      <c r="BQ479" s="198"/>
      <c r="BR479" s="198"/>
      <c r="BS479" s="198"/>
      <c r="BT479" s="198"/>
      <c r="BU479" s="198"/>
      <c r="BV479" s="198"/>
      <c r="BW479" s="198"/>
      <c r="BX479" s="198"/>
      <c r="BY479" s="198"/>
      <c r="BZ479" s="198"/>
      <c r="CA479" s="198"/>
      <c r="CB479" s="198"/>
      <c r="CC479" s="198"/>
      <c r="CD479" s="198"/>
      <c r="CE479" s="198"/>
      <c r="CF479" s="198"/>
      <c r="CG479" s="198"/>
    </row>
    <row r="480" spans="1:85" s="199" customFormat="1" ht="15.6" x14ac:dyDescent="0.25">
      <c r="A480" s="830"/>
      <c r="B480" s="806" t="s">
        <v>495</v>
      </c>
      <c r="C480" s="801"/>
      <c r="D480" s="802"/>
      <c r="E480" s="302"/>
      <c r="F480" s="803"/>
      <c r="G480" s="803"/>
      <c r="H480" s="804"/>
      <c r="I480" s="197"/>
      <c r="J480" s="197"/>
      <c r="K480" s="197"/>
      <c r="L480" s="197"/>
      <c r="M480" s="197"/>
      <c r="N480" s="197"/>
      <c r="O480" s="197"/>
      <c r="P480" s="197"/>
      <c r="Q480" s="197"/>
      <c r="R480" s="197"/>
      <c r="S480" s="197"/>
      <c r="T480" s="198"/>
      <c r="U480" s="198"/>
      <c r="V480" s="198"/>
      <c r="W480" s="198"/>
      <c r="X480" s="198"/>
      <c r="Y480" s="198"/>
      <c r="Z480" s="198"/>
      <c r="AA480" s="198"/>
      <c r="AB480" s="198"/>
      <c r="AC480" s="198"/>
      <c r="AD480" s="198"/>
      <c r="AE480" s="198"/>
      <c r="AF480" s="198"/>
      <c r="AG480" s="198"/>
      <c r="AH480" s="198"/>
      <c r="AI480" s="198"/>
      <c r="AJ480" s="198"/>
      <c r="AK480" s="198"/>
      <c r="AL480" s="198"/>
      <c r="AM480" s="198"/>
      <c r="AN480" s="198"/>
      <c r="AO480" s="198"/>
      <c r="AP480" s="198"/>
      <c r="AQ480" s="198"/>
      <c r="AR480" s="198"/>
      <c r="AS480" s="198"/>
      <c r="AT480" s="198"/>
      <c r="AU480" s="198"/>
      <c r="AV480" s="198"/>
      <c r="AW480" s="198"/>
      <c r="AX480" s="198"/>
      <c r="AY480" s="198"/>
      <c r="AZ480" s="198"/>
      <c r="BA480" s="198"/>
      <c r="BB480" s="198"/>
      <c r="BC480" s="198"/>
      <c r="BD480" s="198"/>
      <c r="BE480" s="198"/>
      <c r="BF480" s="198"/>
      <c r="BG480" s="198"/>
      <c r="BH480" s="198"/>
      <c r="BI480" s="198"/>
      <c r="BJ480" s="198"/>
      <c r="BK480" s="198"/>
      <c r="BL480" s="198"/>
      <c r="BM480" s="198"/>
      <c r="BN480" s="198"/>
      <c r="BO480" s="198"/>
      <c r="BP480" s="198"/>
      <c r="BQ480" s="198"/>
      <c r="BR480" s="198"/>
      <c r="BS480" s="198"/>
      <c r="BT480" s="198"/>
      <c r="BU480" s="198"/>
      <c r="BV480" s="198"/>
      <c r="BW480" s="198"/>
      <c r="BX480" s="198"/>
      <c r="BY480" s="198"/>
      <c r="BZ480" s="198"/>
      <c r="CA480" s="198"/>
      <c r="CB480" s="198"/>
      <c r="CC480" s="198"/>
      <c r="CD480" s="198"/>
      <c r="CE480" s="198"/>
      <c r="CF480" s="198"/>
      <c r="CG480" s="198"/>
    </row>
    <row r="481" spans="1:85" s="199" customFormat="1" ht="15.6" x14ac:dyDescent="0.25">
      <c r="A481" s="830"/>
      <c r="B481" s="806" t="s">
        <v>496</v>
      </c>
      <c r="C481" s="801"/>
      <c r="D481" s="802"/>
      <c r="E481" s="302"/>
      <c r="F481" s="803"/>
      <c r="G481" s="803"/>
      <c r="H481" s="804"/>
      <c r="I481" s="197"/>
      <c r="J481" s="197"/>
      <c r="K481" s="197"/>
      <c r="L481" s="197"/>
      <c r="M481" s="197"/>
      <c r="N481" s="197"/>
      <c r="O481" s="197"/>
      <c r="P481" s="197"/>
      <c r="Q481" s="197"/>
      <c r="R481" s="197"/>
      <c r="S481" s="197"/>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8"/>
      <c r="AY481" s="198"/>
      <c r="AZ481" s="198"/>
      <c r="BA481" s="198"/>
      <c r="BB481" s="198"/>
      <c r="BC481" s="198"/>
      <c r="BD481" s="198"/>
      <c r="BE481" s="198"/>
      <c r="BF481" s="198"/>
      <c r="BG481" s="198"/>
      <c r="BH481" s="198"/>
      <c r="BI481" s="198"/>
      <c r="BJ481" s="198"/>
      <c r="BK481" s="198"/>
      <c r="BL481" s="198"/>
      <c r="BM481" s="198"/>
      <c r="BN481" s="198"/>
      <c r="BO481" s="198"/>
      <c r="BP481" s="198"/>
      <c r="BQ481" s="198"/>
      <c r="BR481" s="198"/>
      <c r="BS481" s="198"/>
      <c r="BT481" s="198"/>
      <c r="BU481" s="198"/>
      <c r="BV481" s="198"/>
      <c r="BW481" s="198"/>
      <c r="BX481" s="198"/>
      <c r="BY481" s="198"/>
      <c r="BZ481" s="198"/>
      <c r="CA481" s="198"/>
      <c r="CB481" s="198"/>
      <c r="CC481" s="198"/>
      <c r="CD481" s="198"/>
      <c r="CE481" s="198"/>
      <c r="CF481" s="198"/>
      <c r="CG481" s="198"/>
    </row>
    <row r="482" spans="1:85" s="199" customFormat="1" x14ac:dyDescent="0.25">
      <c r="A482" s="800"/>
      <c r="B482" s="301" t="s">
        <v>329</v>
      </c>
      <c r="C482" s="801"/>
      <c r="D482" s="802"/>
      <c r="E482" s="302"/>
      <c r="F482" s="803"/>
      <c r="G482" s="803"/>
      <c r="H482" s="804"/>
      <c r="I482" s="197"/>
      <c r="J482" s="197"/>
      <c r="K482" s="197"/>
      <c r="L482" s="197"/>
      <c r="M482" s="197"/>
      <c r="N482" s="197"/>
      <c r="O482" s="197"/>
      <c r="P482" s="197"/>
      <c r="Q482" s="197"/>
      <c r="R482" s="197"/>
      <c r="S482" s="197"/>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8"/>
      <c r="AY482" s="198"/>
      <c r="AZ482" s="198"/>
      <c r="BA482" s="198"/>
      <c r="BB482" s="198"/>
      <c r="BC482" s="198"/>
      <c r="BD482" s="198"/>
      <c r="BE482" s="198"/>
      <c r="BF482" s="198"/>
      <c r="BG482" s="198"/>
      <c r="BH482" s="198"/>
      <c r="BI482" s="198"/>
      <c r="BJ482" s="198"/>
      <c r="BK482" s="198"/>
      <c r="BL482" s="198"/>
      <c r="BM482" s="198"/>
      <c r="BN482" s="198"/>
      <c r="BO482" s="198"/>
      <c r="BP482" s="198"/>
      <c r="BQ482" s="198"/>
      <c r="BR482" s="198"/>
      <c r="BS482" s="198"/>
      <c r="BT482" s="198"/>
      <c r="BU482" s="198"/>
      <c r="BV482" s="198"/>
      <c r="BW482" s="198"/>
      <c r="BX482" s="198"/>
      <c r="BY482" s="198"/>
      <c r="BZ482" s="198"/>
      <c r="CA482" s="198"/>
      <c r="CB482" s="198"/>
      <c r="CC482" s="198"/>
      <c r="CD482" s="198"/>
      <c r="CE482" s="198"/>
      <c r="CF482" s="198"/>
      <c r="CG482" s="198"/>
    </row>
    <row r="483" spans="1:85" s="199" customFormat="1" x14ac:dyDescent="0.25">
      <c r="A483" s="800"/>
      <c r="B483" s="301" t="s">
        <v>327</v>
      </c>
      <c r="C483" s="801"/>
      <c r="D483" s="802"/>
      <c r="E483" s="302"/>
      <c r="F483" s="803"/>
      <c r="G483" s="803"/>
      <c r="H483" s="804"/>
      <c r="I483" s="197"/>
      <c r="J483" s="197"/>
      <c r="K483" s="197"/>
      <c r="L483" s="197"/>
      <c r="M483" s="197"/>
      <c r="N483" s="197"/>
      <c r="O483" s="197"/>
      <c r="P483" s="197"/>
      <c r="Q483" s="197"/>
      <c r="R483" s="197"/>
      <c r="S483" s="197"/>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8"/>
      <c r="AY483" s="198"/>
      <c r="AZ483" s="198"/>
      <c r="BA483" s="198"/>
      <c r="BB483" s="198"/>
      <c r="BC483" s="198"/>
      <c r="BD483" s="198"/>
      <c r="BE483" s="198"/>
      <c r="BF483" s="198"/>
      <c r="BG483" s="198"/>
      <c r="BH483" s="198"/>
      <c r="BI483" s="198"/>
      <c r="BJ483" s="198"/>
      <c r="BK483" s="198"/>
      <c r="BL483" s="198"/>
      <c r="BM483" s="198"/>
      <c r="BN483" s="198"/>
      <c r="BO483" s="198"/>
      <c r="BP483" s="198"/>
      <c r="BQ483" s="198"/>
      <c r="BR483" s="198"/>
      <c r="BS483" s="198"/>
      <c r="BT483" s="198"/>
      <c r="BU483" s="198"/>
      <c r="BV483" s="198"/>
      <c r="BW483" s="198"/>
      <c r="BX483" s="198"/>
      <c r="BY483" s="198"/>
      <c r="BZ483" s="198"/>
      <c r="CA483" s="198"/>
      <c r="CB483" s="198"/>
      <c r="CC483" s="198"/>
      <c r="CD483" s="198"/>
      <c r="CE483" s="198"/>
      <c r="CF483" s="198"/>
      <c r="CG483" s="198"/>
    </row>
    <row r="484" spans="1:85" s="199" customFormat="1" x14ac:dyDescent="0.25">
      <c r="A484" s="800"/>
      <c r="B484" s="301" t="s">
        <v>497</v>
      </c>
      <c r="C484" s="801"/>
      <c r="D484" s="802"/>
      <c r="E484" s="302"/>
      <c r="F484" s="803"/>
      <c r="G484" s="803"/>
      <c r="H484" s="804"/>
      <c r="I484" s="197"/>
      <c r="J484" s="197"/>
      <c r="K484" s="197"/>
      <c r="L484" s="197"/>
      <c r="M484" s="197"/>
      <c r="N484" s="197"/>
      <c r="O484" s="197"/>
      <c r="P484" s="197"/>
      <c r="Q484" s="197"/>
      <c r="R484" s="197"/>
      <c r="S484" s="197"/>
      <c r="T484" s="198"/>
      <c r="U484" s="198"/>
      <c r="V484" s="198"/>
      <c r="W484" s="198"/>
      <c r="X484" s="198"/>
      <c r="Y484" s="198"/>
      <c r="Z484" s="198"/>
      <c r="AA484" s="198"/>
      <c r="AB484" s="198"/>
      <c r="AC484" s="198"/>
      <c r="AD484" s="198"/>
      <c r="AE484" s="198"/>
      <c r="AF484" s="198"/>
      <c r="AG484" s="198"/>
      <c r="AH484" s="198"/>
      <c r="AI484" s="198"/>
      <c r="AJ484" s="198"/>
      <c r="AK484" s="198"/>
      <c r="AL484" s="198"/>
      <c r="AM484" s="198"/>
      <c r="AN484" s="198"/>
      <c r="AO484" s="198"/>
      <c r="AP484" s="198"/>
      <c r="AQ484" s="198"/>
      <c r="AR484" s="198"/>
      <c r="AS484" s="198"/>
      <c r="AT484" s="198"/>
      <c r="AU484" s="198"/>
      <c r="AV484" s="198"/>
      <c r="AW484" s="198"/>
      <c r="AX484" s="198"/>
      <c r="AY484" s="198"/>
      <c r="AZ484" s="198"/>
      <c r="BA484" s="198"/>
      <c r="BB484" s="198"/>
      <c r="BC484" s="198"/>
      <c r="BD484" s="198"/>
      <c r="BE484" s="198"/>
      <c r="BF484" s="198"/>
      <c r="BG484" s="198"/>
      <c r="BH484" s="198"/>
      <c r="BI484" s="198"/>
      <c r="BJ484" s="198"/>
      <c r="BK484" s="198"/>
      <c r="BL484" s="198"/>
      <c r="BM484" s="198"/>
      <c r="BN484" s="198"/>
      <c r="BO484" s="198"/>
      <c r="BP484" s="198"/>
      <c r="BQ484" s="198"/>
      <c r="BR484" s="198"/>
      <c r="BS484" s="198"/>
      <c r="BT484" s="198"/>
      <c r="BU484" s="198"/>
      <c r="BV484" s="198"/>
      <c r="BW484" s="198"/>
      <c r="BX484" s="198"/>
      <c r="BY484" s="198"/>
      <c r="BZ484" s="198"/>
      <c r="CA484" s="198"/>
      <c r="CB484" s="198"/>
      <c r="CC484" s="198"/>
      <c r="CD484" s="198"/>
      <c r="CE484" s="198"/>
      <c r="CF484" s="198"/>
      <c r="CG484" s="198"/>
    </row>
    <row r="485" spans="1:85" s="199" customFormat="1" x14ac:dyDescent="0.25">
      <c r="A485" s="800"/>
      <c r="B485" s="301" t="s">
        <v>498</v>
      </c>
      <c r="C485" s="801"/>
      <c r="D485" s="802"/>
      <c r="E485" s="302"/>
      <c r="F485" s="803"/>
      <c r="G485" s="803"/>
      <c r="H485" s="804"/>
      <c r="I485" s="197"/>
      <c r="J485" s="197"/>
      <c r="K485" s="197"/>
      <c r="L485" s="197"/>
      <c r="M485" s="197"/>
      <c r="N485" s="197"/>
      <c r="O485" s="197"/>
      <c r="P485" s="197"/>
      <c r="Q485" s="197"/>
      <c r="R485" s="197"/>
      <c r="S485" s="197"/>
      <c r="T485" s="198"/>
      <c r="U485" s="198"/>
      <c r="V485" s="198"/>
      <c r="W485" s="198"/>
      <c r="X485" s="198"/>
      <c r="Y485" s="198"/>
      <c r="Z485" s="198"/>
      <c r="AA485" s="198"/>
      <c r="AB485" s="198"/>
      <c r="AC485" s="198"/>
      <c r="AD485" s="198"/>
      <c r="AE485" s="198"/>
      <c r="AF485" s="198"/>
      <c r="AG485" s="198"/>
      <c r="AH485" s="198"/>
      <c r="AI485" s="198"/>
      <c r="AJ485" s="198"/>
      <c r="AK485" s="198"/>
      <c r="AL485" s="198"/>
      <c r="AM485" s="198"/>
      <c r="AN485" s="198"/>
      <c r="AO485" s="198"/>
      <c r="AP485" s="198"/>
      <c r="AQ485" s="198"/>
      <c r="AR485" s="198"/>
      <c r="AS485" s="198"/>
      <c r="AT485" s="198"/>
      <c r="AU485" s="198"/>
      <c r="AV485" s="198"/>
      <c r="AW485" s="198"/>
      <c r="AX485" s="198"/>
      <c r="AY485" s="198"/>
      <c r="AZ485" s="198"/>
      <c r="BA485" s="198"/>
      <c r="BB485" s="198"/>
      <c r="BC485" s="198"/>
      <c r="BD485" s="198"/>
      <c r="BE485" s="198"/>
      <c r="BF485" s="198"/>
      <c r="BG485" s="198"/>
      <c r="BH485" s="198"/>
      <c r="BI485" s="198"/>
      <c r="BJ485" s="198"/>
      <c r="BK485" s="198"/>
      <c r="BL485" s="198"/>
      <c r="BM485" s="198"/>
      <c r="BN485" s="198"/>
      <c r="BO485" s="198"/>
      <c r="BP485" s="198"/>
      <c r="BQ485" s="198"/>
      <c r="BR485" s="198"/>
      <c r="BS485" s="198"/>
      <c r="BT485" s="198"/>
      <c r="BU485" s="198"/>
      <c r="BV485" s="198"/>
      <c r="BW485" s="198"/>
      <c r="BX485" s="198"/>
      <c r="BY485" s="198"/>
      <c r="BZ485" s="198"/>
      <c r="CA485" s="198"/>
      <c r="CB485" s="198"/>
      <c r="CC485" s="198"/>
      <c r="CD485" s="198"/>
      <c r="CE485" s="198"/>
      <c r="CF485" s="198"/>
      <c r="CG485" s="198"/>
    </row>
    <row r="486" spans="1:85" s="199" customFormat="1" x14ac:dyDescent="0.25">
      <c r="A486" s="800"/>
      <c r="B486" s="301" t="s">
        <v>332</v>
      </c>
      <c r="C486" s="801"/>
      <c r="D486" s="802"/>
      <c r="E486" s="302"/>
      <c r="F486" s="803"/>
      <c r="G486" s="803"/>
      <c r="H486" s="804"/>
      <c r="I486" s="197"/>
      <c r="J486" s="197"/>
      <c r="K486" s="197"/>
      <c r="L486" s="197"/>
      <c r="M486" s="197"/>
      <c r="N486" s="197"/>
      <c r="O486" s="197"/>
      <c r="P486" s="197"/>
      <c r="Q486" s="197"/>
      <c r="R486" s="197"/>
      <c r="S486" s="197"/>
      <c r="T486" s="198"/>
      <c r="U486" s="198"/>
      <c r="V486" s="198"/>
      <c r="W486" s="198"/>
      <c r="X486" s="198"/>
      <c r="Y486" s="198"/>
      <c r="Z486" s="198"/>
      <c r="AA486" s="198"/>
      <c r="AB486" s="198"/>
      <c r="AC486" s="198"/>
      <c r="AD486" s="198"/>
      <c r="AE486" s="198"/>
      <c r="AF486" s="198"/>
      <c r="AG486" s="198"/>
      <c r="AH486" s="198"/>
      <c r="AI486" s="198"/>
      <c r="AJ486" s="198"/>
      <c r="AK486" s="198"/>
      <c r="AL486" s="198"/>
      <c r="AM486" s="198"/>
      <c r="AN486" s="198"/>
      <c r="AO486" s="198"/>
      <c r="AP486" s="198"/>
      <c r="AQ486" s="198"/>
      <c r="AR486" s="198"/>
      <c r="AS486" s="198"/>
      <c r="AT486" s="198"/>
      <c r="AU486" s="198"/>
      <c r="AV486" s="198"/>
      <c r="AW486" s="198"/>
      <c r="AX486" s="198"/>
      <c r="AY486" s="198"/>
      <c r="AZ486" s="198"/>
      <c r="BA486" s="198"/>
      <c r="BB486" s="198"/>
      <c r="BC486" s="198"/>
      <c r="BD486" s="198"/>
      <c r="BE486" s="198"/>
      <c r="BF486" s="198"/>
      <c r="BG486" s="198"/>
      <c r="BH486" s="198"/>
      <c r="BI486" s="198"/>
      <c r="BJ486" s="198"/>
      <c r="BK486" s="198"/>
      <c r="BL486" s="198"/>
      <c r="BM486" s="198"/>
      <c r="BN486" s="198"/>
      <c r="BO486" s="198"/>
      <c r="BP486" s="198"/>
      <c r="BQ486" s="198"/>
      <c r="BR486" s="198"/>
      <c r="BS486" s="198"/>
      <c r="BT486" s="198"/>
      <c r="BU486" s="198"/>
      <c r="BV486" s="198"/>
      <c r="BW486" s="198"/>
      <c r="BX486" s="198"/>
      <c r="BY486" s="198"/>
      <c r="BZ486" s="198"/>
      <c r="CA486" s="198"/>
      <c r="CB486" s="198"/>
      <c r="CC486" s="198"/>
      <c r="CD486" s="198"/>
      <c r="CE486" s="198"/>
      <c r="CF486" s="198"/>
      <c r="CG486" s="198"/>
    </row>
    <row r="487" spans="1:85" s="199" customFormat="1" x14ac:dyDescent="0.25">
      <c r="A487" s="800"/>
      <c r="B487" s="301" t="s">
        <v>341</v>
      </c>
      <c r="C487" s="801"/>
      <c r="D487" s="802"/>
      <c r="E487" s="302"/>
      <c r="F487" s="803"/>
      <c r="G487" s="803"/>
      <c r="H487" s="804"/>
      <c r="I487" s="197"/>
      <c r="J487" s="197"/>
      <c r="K487" s="197"/>
      <c r="L487" s="197"/>
      <c r="M487" s="197"/>
      <c r="N487" s="197"/>
      <c r="O487" s="197"/>
      <c r="P487" s="197"/>
      <c r="Q487" s="197"/>
      <c r="R487" s="197"/>
      <c r="S487" s="197"/>
      <c r="T487" s="198"/>
      <c r="U487" s="198"/>
      <c r="V487" s="198"/>
      <c r="W487" s="198"/>
      <c r="X487" s="198"/>
      <c r="Y487" s="198"/>
      <c r="Z487" s="198"/>
      <c r="AA487" s="198"/>
      <c r="AB487" s="198"/>
      <c r="AC487" s="198"/>
      <c r="AD487" s="198"/>
      <c r="AE487" s="198"/>
      <c r="AF487" s="198"/>
      <c r="AG487" s="198"/>
      <c r="AH487" s="198"/>
      <c r="AI487" s="198"/>
      <c r="AJ487" s="198"/>
      <c r="AK487" s="198"/>
      <c r="AL487" s="198"/>
      <c r="AM487" s="198"/>
      <c r="AN487" s="198"/>
      <c r="AO487" s="198"/>
      <c r="AP487" s="198"/>
      <c r="AQ487" s="198"/>
      <c r="AR487" s="198"/>
      <c r="AS487" s="198"/>
      <c r="AT487" s="198"/>
      <c r="AU487" s="198"/>
      <c r="AV487" s="198"/>
      <c r="AW487" s="198"/>
      <c r="AX487" s="198"/>
      <c r="AY487" s="198"/>
      <c r="AZ487" s="198"/>
      <c r="BA487" s="198"/>
      <c r="BB487" s="198"/>
      <c r="BC487" s="198"/>
      <c r="BD487" s="198"/>
      <c r="BE487" s="198"/>
      <c r="BF487" s="198"/>
      <c r="BG487" s="198"/>
      <c r="BH487" s="198"/>
      <c r="BI487" s="198"/>
      <c r="BJ487" s="198"/>
      <c r="BK487" s="198"/>
      <c r="BL487" s="198"/>
      <c r="BM487" s="198"/>
      <c r="BN487" s="198"/>
      <c r="BO487" s="198"/>
      <c r="BP487" s="198"/>
      <c r="BQ487" s="198"/>
      <c r="BR487" s="198"/>
      <c r="BS487" s="198"/>
      <c r="BT487" s="198"/>
      <c r="BU487" s="198"/>
      <c r="BV487" s="198"/>
      <c r="BW487" s="198"/>
      <c r="BX487" s="198"/>
      <c r="BY487" s="198"/>
      <c r="BZ487" s="198"/>
      <c r="CA487" s="198"/>
      <c r="CB487" s="198"/>
      <c r="CC487" s="198"/>
      <c r="CD487" s="198"/>
      <c r="CE487" s="198"/>
      <c r="CF487" s="198"/>
      <c r="CG487" s="198"/>
    </row>
    <row r="488" spans="1:85" s="199" customFormat="1" x14ac:dyDescent="0.25">
      <c r="A488" s="800"/>
      <c r="B488" s="301" t="s">
        <v>499</v>
      </c>
      <c r="C488" s="801"/>
      <c r="D488" s="802"/>
      <c r="E488" s="302"/>
      <c r="F488" s="803"/>
      <c r="G488" s="803"/>
      <c r="H488" s="804"/>
      <c r="I488" s="197"/>
      <c r="J488" s="197"/>
      <c r="K488" s="197"/>
      <c r="L488" s="197"/>
      <c r="M488" s="197"/>
      <c r="N488" s="197"/>
      <c r="O488" s="197"/>
      <c r="P488" s="197"/>
      <c r="Q488" s="197"/>
      <c r="R488" s="197"/>
      <c r="S488" s="197"/>
      <c r="T488" s="198"/>
      <c r="U488" s="198"/>
      <c r="V488" s="198"/>
      <c r="W488" s="198"/>
      <c r="X488" s="198"/>
      <c r="Y488" s="198"/>
      <c r="Z488" s="198"/>
      <c r="AA488" s="198"/>
      <c r="AB488" s="198"/>
      <c r="AC488" s="198"/>
      <c r="AD488" s="198"/>
      <c r="AE488" s="198"/>
      <c r="AF488" s="198"/>
      <c r="AG488" s="198"/>
      <c r="AH488" s="198"/>
      <c r="AI488" s="198"/>
      <c r="AJ488" s="198"/>
      <c r="AK488" s="198"/>
      <c r="AL488" s="198"/>
      <c r="AM488" s="198"/>
      <c r="AN488" s="198"/>
      <c r="AO488" s="198"/>
      <c r="AP488" s="198"/>
      <c r="AQ488" s="198"/>
      <c r="AR488" s="198"/>
      <c r="AS488" s="198"/>
      <c r="AT488" s="198"/>
      <c r="AU488" s="198"/>
      <c r="AV488" s="198"/>
      <c r="AW488" s="198"/>
      <c r="AX488" s="198"/>
      <c r="AY488" s="198"/>
      <c r="AZ488" s="198"/>
      <c r="BA488" s="198"/>
      <c r="BB488" s="198"/>
      <c r="BC488" s="198"/>
      <c r="BD488" s="198"/>
      <c r="BE488" s="198"/>
      <c r="BF488" s="198"/>
      <c r="BG488" s="198"/>
      <c r="BH488" s="198"/>
      <c r="BI488" s="198"/>
      <c r="BJ488" s="198"/>
      <c r="BK488" s="198"/>
      <c r="BL488" s="198"/>
      <c r="BM488" s="198"/>
      <c r="BN488" s="198"/>
      <c r="BO488" s="198"/>
      <c r="BP488" s="198"/>
      <c r="BQ488" s="198"/>
      <c r="BR488" s="198"/>
      <c r="BS488" s="198"/>
      <c r="BT488" s="198"/>
      <c r="BU488" s="198"/>
      <c r="BV488" s="198"/>
      <c r="BW488" s="198"/>
      <c r="BX488" s="198"/>
      <c r="BY488" s="198"/>
      <c r="BZ488" s="198"/>
      <c r="CA488" s="198"/>
      <c r="CB488" s="198"/>
      <c r="CC488" s="198"/>
      <c r="CD488" s="198"/>
      <c r="CE488" s="198"/>
      <c r="CF488" s="198"/>
      <c r="CG488" s="198"/>
    </row>
    <row r="489" spans="1:85" s="199" customFormat="1" x14ac:dyDescent="0.25">
      <c r="A489" s="800"/>
      <c r="B489" s="301" t="s">
        <v>500</v>
      </c>
      <c r="C489" s="801"/>
      <c r="D489" s="802"/>
      <c r="E489" s="302"/>
      <c r="F489" s="803"/>
      <c r="G489" s="803"/>
      <c r="H489" s="804"/>
      <c r="I489" s="197"/>
      <c r="J489" s="197"/>
      <c r="K489" s="197"/>
      <c r="L489" s="197"/>
      <c r="M489" s="197"/>
      <c r="N489" s="197"/>
      <c r="O489" s="197"/>
      <c r="P489" s="197"/>
      <c r="Q489" s="197"/>
      <c r="R489" s="197"/>
      <c r="S489" s="197"/>
      <c r="T489" s="198"/>
      <c r="U489" s="198"/>
      <c r="V489" s="198"/>
      <c r="W489" s="198"/>
      <c r="X489" s="198"/>
      <c r="Y489" s="198"/>
      <c r="Z489" s="198"/>
      <c r="AA489" s="198"/>
      <c r="AB489" s="198"/>
      <c r="AC489" s="198"/>
      <c r="AD489" s="198"/>
      <c r="AE489" s="198"/>
      <c r="AF489" s="198"/>
      <c r="AG489" s="198"/>
      <c r="AH489" s="198"/>
      <c r="AI489" s="198"/>
      <c r="AJ489" s="198"/>
      <c r="AK489" s="198"/>
      <c r="AL489" s="198"/>
      <c r="AM489" s="198"/>
      <c r="AN489" s="198"/>
      <c r="AO489" s="198"/>
      <c r="AP489" s="198"/>
      <c r="AQ489" s="198"/>
      <c r="AR489" s="198"/>
      <c r="AS489" s="198"/>
      <c r="AT489" s="198"/>
      <c r="AU489" s="198"/>
      <c r="AV489" s="198"/>
      <c r="AW489" s="198"/>
      <c r="AX489" s="198"/>
      <c r="AY489" s="198"/>
      <c r="AZ489" s="198"/>
      <c r="BA489" s="198"/>
      <c r="BB489" s="198"/>
      <c r="BC489" s="198"/>
      <c r="BD489" s="198"/>
      <c r="BE489" s="198"/>
      <c r="BF489" s="198"/>
      <c r="BG489" s="198"/>
      <c r="BH489" s="198"/>
      <c r="BI489" s="198"/>
      <c r="BJ489" s="198"/>
      <c r="BK489" s="198"/>
      <c r="BL489" s="198"/>
      <c r="BM489" s="198"/>
      <c r="BN489" s="198"/>
      <c r="BO489" s="198"/>
      <c r="BP489" s="198"/>
      <c r="BQ489" s="198"/>
      <c r="BR489" s="198"/>
      <c r="BS489" s="198"/>
      <c r="BT489" s="198"/>
      <c r="BU489" s="198"/>
      <c r="BV489" s="198"/>
      <c r="BW489" s="198"/>
      <c r="BX489" s="198"/>
      <c r="BY489" s="198"/>
      <c r="BZ489" s="198"/>
      <c r="CA489" s="198"/>
      <c r="CB489" s="198"/>
      <c r="CC489" s="198"/>
      <c r="CD489" s="198"/>
      <c r="CE489" s="198"/>
      <c r="CF489" s="198"/>
      <c r="CG489" s="198"/>
    </row>
    <row r="490" spans="1:85" s="199" customFormat="1" ht="30" x14ac:dyDescent="0.25">
      <c r="A490" s="800"/>
      <c r="B490" s="1027" t="s">
        <v>501</v>
      </c>
      <c r="C490" s="801"/>
      <c r="D490" s="802"/>
      <c r="E490" s="302"/>
      <c r="F490" s="803"/>
      <c r="G490" s="803"/>
      <c r="H490" s="804"/>
      <c r="I490" s="197"/>
      <c r="J490" s="197"/>
      <c r="K490" s="197"/>
      <c r="L490" s="197"/>
      <c r="M490" s="197"/>
      <c r="N490" s="197"/>
      <c r="O490" s="197"/>
      <c r="P490" s="197"/>
      <c r="Q490" s="197"/>
      <c r="R490" s="197"/>
      <c r="S490" s="197"/>
      <c r="T490" s="198"/>
      <c r="U490" s="198"/>
      <c r="V490" s="198"/>
      <c r="W490" s="198"/>
      <c r="X490" s="198"/>
      <c r="Y490" s="198"/>
      <c r="Z490" s="198"/>
      <c r="AA490" s="198"/>
      <c r="AB490" s="198"/>
      <c r="AC490" s="198"/>
      <c r="AD490" s="198"/>
      <c r="AE490" s="198"/>
      <c r="AF490" s="198"/>
      <c r="AG490" s="198"/>
      <c r="AH490" s="198"/>
      <c r="AI490" s="198"/>
      <c r="AJ490" s="198"/>
      <c r="AK490" s="198"/>
      <c r="AL490" s="198"/>
      <c r="AM490" s="198"/>
      <c r="AN490" s="198"/>
      <c r="AO490" s="198"/>
      <c r="AP490" s="198"/>
      <c r="AQ490" s="198"/>
      <c r="AR490" s="198"/>
      <c r="AS490" s="198"/>
      <c r="AT490" s="198"/>
      <c r="AU490" s="198"/>
      <c r="AV490" s="198"/>
      <c r="AW490" s="198"/>
      <c r="AX490" s="198"/>
      <c r="AY490" s="198"/>
      <c r="AZ490" s="198"/>
      <c r="BA490" s="198"/>
      <c r="BB490" s="198"/>
      <c r="BC490" s="198"/>
      <c r="BD490" s="198"/>
      <c r="BE490" s="198"/>
      <c r="BF490" s="198"/>
      <c r="BG490" s="198"/>
      <c r="BH490" s="198"/>
      <c r="BI490" s="198"/>
      <c r="BJ490" s="198"/>
      <c r="BK490" s="198"/>
      <c r="BL490" s="198"/>
      <c r="BM490" s="198"/>
      <c r="BN490" s="198"/>
      <c r="BO490" s="198"/>
      <c r="BP490" s="198"/>
      <c r="BQ490" s="198"/>
      <c r="BR490" s="198"/>
      <c r="BS490" s="198"/>
      <c r="BT490" s="198"/>
      <c r="BU490" s="198"/>
      <c r="BV490" s="198"/>
      <c r="BW490" s="198"/>
      <c r="BX490" s="198"/>
      <c r="BY490" s="198"/>
      <c r="BZ490" s="198"/>
      <c r="CA490" s="198"/>
      <c r="CB490" s="198"/>
      <c r="CC490" s="198"/>
      <c r="CD490" s="198"/>
      <c r="CE490" s="198"/>
      <c r="CF490" s="198"/>
      <c r="CG490" s="198"/>
    </row>
    <row r="491" spans="1:85" s="199" customFormat="1" x14ac:dyDescent="0.25">
      <c r="A491" s="800"/>
      <c r="B491" s="301" t="s">
        <v>334</v>
      </c>
      <c r="C491" s="801"/>
      <c r="D491" s="802"/>
      <c r="E491" s="302"/>
      <c r="F491" s="803"/>
      <c r="G491" s="803"/>
      <c r="H491" s="804"/>
      <c r="I491" s="197"/>
      <c r="J491" s="197"/>
      <c r="K491" s="197"/>
      <c r="L491" s="197"/>
      <c r="M491" s="197"/>
      <c r="N491" s="197"/>
      <c r="O491" s="197"/>
      <c r="P491" s="197"/>
      <c r="Q491" s="197"/>
      <c r="R491" s="197"/>
      <c r="S491" s="197"/>
      <c r="T491" s="198"/>
      <c r="U491" s="198"/>
      <c r="V491" s="198"/>
      <c r="W491" s="198"/>
      <c r="X491" s="198"/>
      <c r="Y491" s="198"/>
      <c r="Z491" s="198"/>
      <c r="AA491" s="198"/>
      <c r="AB491" s="198"/>
      <c r="AC491" s="198"/>
      <c r="AD491" s="198"/>
      <c r="AE491" s="198"/>
      <c r="AF491" s="198"/>
      <c r="AG491" s="198"/>
      <c r="AH491" s="198"/>
      <c r="AI491" s="198"/>
      <c r="AJ491" s="198"/>
      <c r="AK491" s="198"/>
      <c r="AL491" s="198"/>
      <c r="AM491" s="198"/>
      <c r="AN491" s="198"/>
      <c r="AO491" s="198"/>
      <c r="AP491" s="198"/>
      <c r="AQ491" s="198"/>
      <c r="AR491" s="198"/>
      <c r="AS491" s="198"/>
      <c r="AT491" s="198"/>
      <c r="AU491" s="198"/>
      <c r="AV491" s="198"/>
      <c r="AW491" s="198"/>
      <c r="AX491" s="198"/>
      <c r="AY491" s="198"/>
      <c r="AZ491" s="198"/>
      <c r="BA491" s="198"/>
      <c r="BB491" s="198"/>
      <c r="BC491" s="198"/>
      <c r="BD491" s="198"/>
      <c r="BE491" s="198"/>
      <c r="BF491" s="198"/>
      <c r="BG491" s="198"/>
      <c r="BH491" s="198"/>
      <c r="BI491" s="198"/>
      <c r="BJ491" s="198"/>
      <c r="BK491" s="198"/>
      <c r="BL491" s="198"/>
      <c r="BM491" s="198"/>
      <c r="BN491" s="198"/>
      <c r="BO491" s="198"/>
      <c r="BP491" s="198"/>
      <c r="BQ491" s="198"/>
      <c r="BR491" s="198"/>
      <c r="BS491" s="198"/>
      <c r="BT491" s="198"/>
      <c r="BU491" s="198"/>
      <c r="BV491" s="198"/>
      <c r="BW491" s="198"/>
      <c r="BX491" s="198"/>
      <c r="BY491" s="198"/>
      <c r="BZ491" s="198"/>
      <c r="CA491" s="198"/>
      <c r="CB491" s="198"/>
      <c r="CC491" s="198"/>
      <c r="CD491" s="198"/>
      <c r="CE491" s="198"/>
      <c r="CF491" s="198"/>
      <c r="CG491" s="198"/>
    </row>
    <row r="492" spans="1:85" s="199" customFormat="1" x14ac:dyDescent="0.25">
      <c r="A492" s="800"/>
      <c r="B492" s="301" t="s">
        <v>328</v>
      </c>
      <c r="C492" s="801"/>
      <c r="D492" s="802"/>
      <c r="E492" s="302"/>
      <c r="F492" s="803"/>
      <c r="G492" s="803"/>
      <c r="H492" s="804"/>
      <c r="I492" s="197"/>
      <c r="J492" s="197"/>
      <c r="K492" s="197"/>
      <c r="L492" s="197"/>
      <c r="M492" s="197"/>
      <c r="N492" s="197"/>
      <c r="O492" s="197"/>
      <c r="P492" s="197"/>
      <c r="Q492" s="197"/>
      <c r="R492" s="197"/>
      <c r="S492" s="197"/>
      <c r="T492" s="198"/>
      <c r="U492" s="198"/>
      <c r="V492" s="198"/>
      <c r="W492" s="198"/>
      <c r="X492" s="198"/>
      <c r="Y492" s="198"/>
      <c r="Z492" s="198"/>
      <c r="AA492" s="198"/>
      <c r="AB492" s="198"/>
      <c r="AC492" s="198"/>
      <c r="AD492" s="198"/>
      <c r="AE492" s="198"/>
      <c r="AF492" s="198"/>
      <c r="AG492" s="198"/>
      <c r="AH492" s="198"/>
      <c r="AI492" s="198"/>
      <c r="AJ492" s="198"/>
      <c r="AK492" s="198"/>
      <c r="AL492" s="198"/>
      <c r="AM492" s="198"/>
      <c r="AN492" s="198"/>
      <c r="AO492" s="198"/>
      <c r="AP492" s="198"/>
      <c r="AQ492" s="198"/>
      <c r="AR492" s="198"/>
      <c r="AS492" s="198"/>
      <c r="AT492" s="198"/>
      <c r="AU492" s="198"/>
      <c r="AV492" s="198"/>
      <c r="AW492" s="198"/>
      <c r="AX492" s="198"/>
      <c r="AY492" s="198"/>
      <c r="AZ492" s="198"/>
      <c r="BA492" s="198"/>
      <c r="BB492" s="198"/>
      <c r="BC492" s="198"/>
      <c r="BD492" s="198"/>
      <c r="BE492" s="198"/>
      <c r="BF492" s="198"/>
      <c r="BG492" s="198"/>
      <c r="BH492" s="198"/>
      <c r="BI492" s="198"/>
      <c r="BJ492" s="198"/>
      <c r="BK492" s="198"/>
      <c r="BL492" s="198"/>
      <c r="BM492" s="198"/>
      <c r="BN492" s="198"/>
      <c r="BO492" s="198"/>
      <c r="BP492" s="198"/>
      <c r="BQ492" s="198"/>
      <c r="BR492" s="198"/>
      <c r="BS492" s="198"/>
      <c r="BT492" s="198"/>
      <c r="BU492" s="198"/>
      <c r="BV492" s="198"/>
      <c r="BW492" s="198"/>
      <c r="BX492" s="198"/>
      <c r="BY492" s="198"/>
      <c r="BZ492" s="198"/>
      <c r="CA492" s="198"/>
      <c r="CB492" s="198"/>
      <c r="CC492" s="198"/>
      <c r="CD492" s="198"/>
      <c r="CE492" s="198"/>
      <c r="CF492" s="198"/>
      <c r="CG492" s="198"/>
    </row>
    <row r="493" spans="1:85" s="199" customFormat="1" x14ac:dyDescent="0.25">
      <c r="A493" s="800"/>
      <c r="B493" s="301" t="s">
        <v>330</v>
      </c>
      <c r="C493" s="801"/>
      <c r="D493" s="802"/>
      <c r="E493" s="302"/>
      <c r="F493" s="803"/>
      <c r="G493" s="803"/>
      <c r="H493" s="804"/>
      <c r="I493" s="197"/>
      <c r="J493" s="197"/>
      <c r="K493" s="197"/>
      <c r="L493" s="197"/>
      <c r="M493" s="197"/>
      <c r="N493" s="197"/>
      <c r="O493" s="197"/>
      <c r="P493" s="197"/>
      <c r="Q493" s="197"/>
      <c r="R493" s="197"/>
      <c r="S493" s="197"/>
      <c r="T493" s="198"/>
      <c r="U493" s="198"/>
      <c r="V493" s="198"/>
      <c r="W493" s="198"/>
      <c r="X493" s="198"/>
      <c r="Y493" s="198"/>
      <c r="Z493" s="198"/>
      <c r="AA493" s="198"/>
      <c r="AB493" s="198"/>
      <c r="AC493" s="198"/>
      <c r="AD493" s="198"/>
      <c r="AE493" s="198"/>
      <c r="AF493" s="198"/>
      <c r="AG493" s="198"/>
      <c r="AH493" s="198"/>
      <c r="AI493" s="198"/>
      <c r="AJ493" s="198"/>
      <c r="AK493" s="198"/>
      <c r="AL493" s="198"/>
      <c r="AM493" s="198"/>
      <c r="AN493" s="198"/>
      <c r="AO493" s="198"/>
      <c r="AP493" s="198"/>
      <c r="AQ493" s="198"/>
      <c r="AR493" s="198"/>
      <c r="AS493" s="198"/>
      <c r="AT493" s="198"/>
      <c r="AU493" s="198"/>
      <c r="AV493" s="198"/>
      <c r="AW493" s="198"/>
      <c r="AX493" s="198"/>
      <c r="AY493" s="198"/>
      <c r="AZ493" s="198"/>
      <c r="BA493" s="198"/>
      <c r="BB493" s="198"/>
      <c r="BC493" s="198"/>
      <c r="BD493" s="198"/>
      <c r="BE493" s="198"/>
      <c r="BF493" s="198"/>
      <c r="BG493" s="198"/>
      <c r="BH493" s="198"/>
      <c r="BI493" s="198"/>
      <c r="BJ493" s="198"/>
      <c r="BK493" s="198"/>
      <c r="BL493" s="198"/>
      <c r="BM493" s="198"/>
      <c r="BN493" s="198"/>
      <c r="BO493" s="198"/>
      <c r="BP493" s="198"/>
      <c r="BQ493" s="198"/>
      <c r="BR493" s="198"/>
      <c r="BS493" s="198"/>
      <c r="BT493" s="198"/>
      <c r="BU493" s="198"/>
      <c r="BV493" s="198"/>
      <c r="BW493" s="198"/>
      <c r="BX493" s="198"/>
      <c r="BY493" s="198"/>
      <c r="BZ493" s="198"/>
      <c r="CA493" s="198"/>
      <c r="CB493" s="198"/>
      <c r="CC493" s="198"/>
      <c r="CD493" s="198"/>
      <c r="CE493" s="198"/>
      <c r="CF493" s="198"/>
      <c r="CG493" s="198"/>
    </row>
    <row r="494" spans="1:85" s="199" customFormat="1" x14ac:dyDescent="0.25">
      <c r="A494" s="800"/>
      <c r="B494" s="301" t="s">
        <v>502</v>
      </c>
      <c r="C494" s="801"/>
      <c r="D494" s="802"/>
      <c r="E494" s="302"/>
      <c r="F494" s="803"/>
      <c r="G494" s="803"/>
      <c r="H494" s="804"/>
      <c r="I494" s="197"/>
      <c r="J494" s="197"/>
      <c r="K494" s="197"/>
      <c r="L494" s="197"/>
      <c r="M494" s="197"/>
      <c r="N494" s="197"/>
      <c r="O494" s="197"/>
      <c r="P494" s="197"/>
      <c r="Q494" s="197"/>
      <c r="R494" s="197"/>
      <c r="S494" s="197"/>
      <c r="T494" s="198"/>
      <c r="U494" s="198"/>
      <c r="V494" s="198"/>
      <c r="W494" s="198"/>
      <c r="X494" s="198"/>
      <c r="Y494" s="198"/>
      <c r="Z494" s="198"/>
      <c r="AA494" s="198"/>
      <c r="AB494" s="198"/>
      <c r="AC494" s="198"/>
      <c r="AD494" s="198"/>
      <c r="AE494" s="198"/>
      <c r="AF494" s="198"/>
      <c r="AG494" s="198"/>
      <c r="AH494" s="198"/>
      <c r="AI494" s="198"/>
      <c r="AJ494" s="198"/>
      <c r="AK494" s="198"/>
      <c r="AL494" s="198"/>
      <c r="AM494" s="198"/>
      <c r="AN494" s="198"/>
      <c r="AO494" s="198"/>
      <c r="AP494" s="198"/>
      <c r="AQ494" s="198"/>
      <c r="AR494" s="198"/>
      <c r="AS494" s="198"/>
      <c r="AT494" s="198"/>
      <c r="AU494" s="198"/>
      <c r="AV494" s="198"/>
      <c r="AW494" s="198"/>
      <c r="AX494" s="198"/>
      <c r="AY494" s="198"/>
      <c r="AZ494" s="198"/>
      <c r="BA494" s="198"/>
      <c r="BB494" s="198"/>
      <c r="BC494" s="198"/>
      <c r="BD494" s="198"/>
      <c r="BE494" s="198"/>
      <c r="BF494" s="198"/>
      <c r="BG494" s="198"/>
      <c r="BH494" s="198"/>
      <c r="BI494" s="198"/>
      <c r="BJ494" s="198"/>
      <c r="BK494" s="198"/>
      <c r="BL494" s="198"/>
      <c r="BM494" s="198"/>
      <c r="BN494" s="198"/>
      <c r="BO494" s="198"/>
      <c r="BP494" s="198"/>
      <c r="BQ494" s="198"/>
      <c r="BR494" s="198"/>
      <c r="BS494" s="198"/>
      <c r="BT494" s="198"/>
      <c r="BU494" s="198"/>
      <c r="BV494" s="198"/>
      <c r="BW494" s="198"/>
      <c r="BX494" s="198"/>
      <c r="BY494" s="198"/>
      <c r="BZ494" s="198"/>
      <c r="CA494" s="198"/>
      <c r="CB494" s="198"/>
      <c r="CC494" s="198"/>
      <c r="CD494" s="198"/>
      <c r="CE494" s="198"/>
      <c r="CF494" s="198"/>
      <c r="CG494" s="198"/>
    </row>
    <row r="495" spans="1:85" s="199" customFormat="1" x14ac:dyDescent="0.25">
      <c r="A495" s="800"/>
      <c r="B495" s="301" t="s">
        <v>503</v>
      </c>
      <c r="C495" s="801"/>
      <c r="D495" s="802"/>
      <c r="E495" s="302"/>
      <c r="F495" s="803"/>
      <c r="G495" s="803"/>
      <c r="H495" s="804"/>
      <c r="I495" s="197"/>
      <c r="J495" s="197"/>
      <c r="K495" s="197"/>
      <c r="L495" s="197"/>
      <c r="M495" s="197"/>
      <c r="N495" s="197"/>
      <c r="O495" s="197"/>
      <c r="P495" s="197"/>
      <c r="Q495" s="197"/>
      <c r="R495" s="197"/>
      <c r="S495" s="197"/>
      <c r="T495" s="198"/>
      <c r="U495" s="198"/>
      <c r="V495" s="198"/>
      <c r="W495" s="198"/>
      <c r="X495" s="198"/>
      <c r="Y495" s="198"/>
      <c r="Z495" s="198"/>
      <c r="AA495" s="198"/>
      <c r="AB495" s="198"/>
      <c r="AC495" s="198"/>
      <c r="AD495" s="198"/>
      <c r="AE495" s="198"/>
      <c r="AF495" s="198"/>
      <c r="AG495" s="198"/>
      <c r="AH495" s="198"/>
      <c r="AI495" s="198"/>
      <c r="AJ495" s="198"/>
      <c r="AK495" s="198"/>
      <c r="AL495" s="198"/>
      <c r="AM495" s="198"/>
      <c r="AN495" s="198"/>
      <c r="AO495" s="198"/>
      <c r="AP495" s="198"/>
      <c r="AQ495" s="198"/>
      <c r="AR495" s="198"/>
      <c r="AS495" s="198"/>
      <c r="AT495" s="198"/>
      <c r="AU495" s="198"/>
      <c r="AV495" s="198"/>
      <c r="AW495" s="198"/>
      <c r="AX495" s="198"/>
      <c r="AY495" s="198"/>
      <c r="AZ495" s="198"/>
      <c r="BA495" s="198"/>
      <c r="BB495" s="198"/>
      <c r="BC495" s="198"/>
      <c r="BD495" s="198"/>
      <c r="BE495" s="198"/>
      <c r="BF495" s="198"/>
      <c r="BG495" s="198"/>
      <c r="BH495" s="198"/>
      <c r="BI495" s="198"/>
      <c r="BJ495" s="198"/>
      <c r="BK495" s="198"/>
      <c r="BL495" s="198"/>
      <c r="BM495" s="198"/>
      <c r="BN495" s="198"/>
      <c r="BO495" s="198"/>
      <c r="BP495" s="198"/>
      <c r="BQ495" s="198"/>
      <c r="BR495" s="198"/>
      <c r="BS495" s="198"/>
      <c r="BT495" s="198"/>
      <c r="BU495" s="198"/>
      <c r="BV495" s="198"/>
      <c r="BW495" s="198"/>
      <c r="BX495" s="198"/>
      <c r="BY495" s="198"/>
      <c r="BZ495" s="198"/>
      <c r="CA495" s="198"/>
      <c r="CB495" s="198"/>
      <c r="CC495" s="198"/>
      <c r="CD495" s="198"/>
      <c r="CE495" s="198"/>
      <c r="CF495" s="198"/>
      <c r="CG495" s="198"/>
    </row>
    <row r="496" spans="1:85" s="199" customFormat="1" x14ac:dyDescent="0.25">
      <c r="A496" s="800"/>
      <c r="B496" s="301" t="s">
        <v>335</v>
      </c>
      <c r="C496" s="801"/>
      <c r="D496" s="802"/>
      <c r="E496" s="302"/>
      <c r="F496" s="803"/>
      <c r="G496" s="803"/>
      <c r="H496" s="804"/>
      <c r="I496" s="197"/>
      <c r="J496" s="197"/>
      <c r="K496" s="197"/>
      <c r="L496" s="197"/>
      <c r="M496" s="197"/>
      <c r="N496" s="197"/>
      <c r="O496" s="197"/>
      <c r="P496" s="197"/>
      <c r="Q496" s="197"/>
      <c r="R496" s="197"/>
      <c r="S496" s="197"/>
      <c r="T496" s="198"/>
      <c r="U496" s="198"/>
      <c r="V496" s="198"/>
      <c r="W496" s="198"/>
      <c r="X496" s="198"/>
      <c r="Y496" s="198"/>
      <c r="Z496" s="198"/>
      <c r="AA496" s="198"/>
      <c r="AB496" s="198"/>
      <c r="AC496" s="198"/>
      <c r="AD496" s="198"/>
      <c r="AE496" s="198"/>
      <c r="AF496" s="198"/>
      <c r="AG496" s="198"/>
      <c r="AH496" s="198"/>
      <c r="AI496" s="198"/>
      <c r="AJ496" s="198"/>
      <c r="AK496" s="198"/>
      <c r="AL496" s="198"/>
      <c r="AM496" s="198"/>
      <c r="AN496" s="198"/>
      <c r="AO496" s="198"/>
      <c r="AP496" s="198"/>
      <c r="AQ496" s="198"/>
      <c r="AR496" s="198"/>
      <c r="AS496" s="198"/>
      <c r="AT496" s="198"/>
      <c r="AU496" s="198"/>
      <c r="AV496" s="198"/>
      <c r="AW496" s="198"/>
      <c r="AX496" s="198"/>
      <c r="AY496" s="198"/>
      <c r="AZ496" s="198"/>
      <c r="BA496" s="198"/>
      <c r="BB496" s="198"/>
      <c r="BC496" s="198"/>
      <c r="BD496" s="198"/>
      <c r="BE496" s="198"/>
      <c r="BF496" s="198"/>
      <c r="BG496" s="198"/>
      <c r="BH496" s="198"/>
      <c r="BI496" s="198"/>
      <c r="BJ496" s="198"/>
      <c r="BK496" s="198"/>
      <c r="BL496" s="198"/>
      <c r="BM496" s="198"/>
      <c r="BN496" s="198"/>
      <c r="BO496" s="198"/>
      <c r="BP496" s="198"/>
      <c r="BQ496" s="198"/>
      <c r="BR496" s="198"/>
      <c r="BS496" s="198"/>
      <c r="BT496" s="198"/>
      <c r="BU496" s="198"/>
      <c r="BV496" s="198"/>
      <c r="BW496" s="198"/>
      <c r="BX496" s="198"/>
      <c r="BY496" s="198"/>
      <c r="BZ496" s="198"/>
      <c r="CA496" s="198"/>
      <c r="CB496" s="198"/>
      <c r="CC496" s="198"/>
      <c r="CD496" s="198"/>
      <c r="CE496" s="198"/>
      <c r="CF496" s="198"/>
      <c r="CG496" s="198"/>
    </row>
    <row r="497" spans="1:85" s="199" customFormat="1" x14ac:dyDescent="0.25">
      <c r="A497" s="800"/>
      <c r="B497" s="301" t="s">
        <v>331</v>
      </c>
      <c r="C497" s="801"/>
      <c r="D497" s="802"/>
      <c r="E497" s="302"/>
      <c r="F497" s="803"/>
      <c r="G497" s="803"/>
      <c r="H497" s="804"/>
      <c r="I497" s="197"/>
      <c r="J497" s="197"/>
      <c r="K497" s="197"/>
      <c r="L497" s="197"/>
      <c r="M497" s="197"/>
      <c r="N497" s="197"/>
      <c r="O497" s="197"/>
      <c r="P497" s="197"/>
      <c r="Q497" s="197"/>
      <c r="R497" s="197"/>
      <c r="S497" s="197"/>
      <c r="T497" s="198"/>
      <c r="U497" s="198"/>
      <c r="V497" s="198"/>
      <c r="W497" s="198"/>
      <c r="X497" s="198"/>
      <c r="Y497" s="198"/>
      <c r="Z497" s="198"/>
      <c r="AA497" s="198"/>
      <c r="AB497" s="198"/>
      <c r="AC497" s="198"/>
      <c r="AD497" s="198"/>
      <c r="AE497" s="198"/>
      <c r="AF497" s="198"/>
      <c r="AG497" s="198"/>
      <c r="AH497" s="198"/>
      <c r="AI497" s="198"/>
      <c r="AJ497" s="198"/>
      <c r="AK497" s="198"/>
      <c r="AL497" s="198"/>
      <c r="AM497" s="198"/>
      <c r="AN497" s="198"/>
      <c r="AO497" s="198"/>
      <c r="AP497" s="198"/>
      <c r="AQ497" s="198"/>
      <c r="AR497" s="198"/>
      <c r="AS497" s="198"/>
      <c r="AT497" s="198"/>
      <c r="AU497" s="198"/>
      <c r="AV497" s="198"/>
      <c r="AW497" s="198"/>
      <c r="AX497" s="198"/>
      <c r="AY497" s="198"/>
      <c r="AZ497" s="198"/>
      <c r="BA497" s="198"/>
      <c r="BB497" s="198"/>
      <c r="BC497" s="198"/>
      <c r="BD497" s="198"/>
      <c r="BE497" s="198"/>
      <c r="BF497" s="198"/>
      <c r="BG497" s="198"/>
      <c r="BH497" s="198"/>
      <c r="BI497" s="198"/>
      <c r="BJ497" s="198"/>
      <c r="BK497" s="198"/>
      <c r="BL497" s="198"/>
      <c r="BM497" s="198"/>
      <c r="BN497" s="198"/>
      <c r="BO497" s="198"/>
      <c r="BP497" s="198"/>
      <c r="BQ497" s="198"/>
      <c r="BR497" s="198"/>
      <c r="BS497" s="198"/>
      <c r="BT497" s="198"/>
      <c r="BU497" s="198"/>
      <c r="BV497" s="198"/>
      <c r="BW497" s="198"/>
      <c r="BX497" s="198"/>
      <c r="BY497" s="198"/>
      <c r="BZ497" s="198"/>
      <c r="CA497" s="198"/>
      <c r="CB497" s="198"/>
      <c r="CC497" s="198"/>
      <c r="CD497" s="198"/>
      <c r="CE497" s="198"/>
      <c r="CF497" s="198"/>
      <c r="CG497" s="198"/>
    </row>
    <row r="498" spans="1:85" s="199" customFormat="1" x14ac:dyDescent="0.25">
      <c r="A498" s="800"/>
      <c r="B498" s="301" t="s">
        <v>340</v>
      </c>
      <c r="C498" s="801"/>
      <c r="D498" s="802"/>
      <c r="E498" s="302"/>
      <c r="F498" s="803"/>
      <c r="G498" s="803"/>
      <c r="H498" s="804"/>
      <c r="I498" s="197"/>
      <c r="J498" s="197"/>
      <c r="K498" s="197"/>
      <c r="L498" s="197"/>
      <c r="M498" s="197"/>
      <c r="N498" s="197"/>
      <c r="O498" s="197"/>
      <c r="P498" s="197"/>
      <c r="Q498" s="197"/>
      <c r="R498" s="197"/>
      <c r="S498" s="197"/>
      <c r="T498" s="198"/>
      <c r="U498" s="198"/>
      <c r="V498" s="198"/>
      <c r="W498" s="198"/>
      <c r="X498" s="198"/>
      <c r="Y498" s="198"/>
      <c r="Z498" s="198"/>
      <c r="AA498" s="198"/>
      <c r="AB498" s="198"/>
      <c r="AC498" s="198"/>
      <c r="AD498" s="198"/>
      <c r="AE498" s="198"/>
      <c r="AF498" s="198"/>
      <c r="AG498" s="198"/>
      <c r="AH498" s="198"/>
      <c r="AI498" s="198"/>
      <c r="AJ498" s="198"/>
      <c r="AK498" s="198"/>
      <c r="AL498" s="198"/>
      <c r="AM498" s="198"/>
      <c r="AN498" s="198"/>
      <c r="AO498" s="198"/>
      <c r="AP498" s="198"/>
      <c r="AQ498" s="198"/>
      <c r="AR498" s="198"/>
      <c r="AS498" s="198"/>
      <c r="AT498" s="198"/>
      <c r="AU498" s="198"/>
      <c r="AV498" s="198"/>
      <c r="AW498" s="198"/>
      <c r="AX498" s="198"/>
      <c r="AY498" s="198"/>
      <c r="AZ498" s="198"/>
      <c r="BA498" s="198"/>
      <c r="BB498" s="198"/>
      <c r="BC498" s="198"/>
      <c r="BD498" s="198"/>
      <c r="BE498" s="198"/>
      <c r="BF498" s="198"/>
      <c r="BG498" s="198"/>
      <c r="BH498" s="198"/>
      <c r="BI498" s="198"/>
      <c r="BJ498" s="198"/>
      <c r="BK498" s="198"/>
      <c r="BL498" s="198"/>
      <c r="BM498" s="198"/>
      <c r="BN498" s="198"/>
      <c r="BO498" s="198"/>
      <c r="BP498" s="198"/>
      <c r="BQ498" s="198"/>
      <c r="BR498" s="198"/>
      <c r="BS498" s="198"/>
      <c r="BT498" s="198"/>
      <c r="BU498" s="198"/>
      <c r="BV498" s="198"/>
      <c r="BW498" s="198"/>
      <c r="BX498" s="198"/>
      <c r="BY498" s="198"/>
      <c r="BZ498" s="198"/>
      <c r="CA498" s="198"/>
      <c r="CB498" s="198"/>
      <c r="CC498" s="198"/>
      <c r="CD498" s="198"/>
      <c r="CE498" s="198"/>
      <c r="CF498" s="198"/>
      <c r="CG498" s="198"/>
    </row>
    <row r="499" spans="1:85" s="199" customFormat="1" x14ac:dyDescent="0.25">
      <c r="A499" s="800"/>
      <c r="B499" s="301" t="s">
        <v>504</v>
      </c>
      <c r="C499" s="801"/>
      <c r="D499" s="802"/>
      <c r="E499" s="302"/>
      <c r="F499" s="803"/>
      <c r="G499" s="803"/>
      <c r="H499" s="804"/>
      <c r="I499" s="197"/>
      <c r="J499" s="197"/>
      <c r="K499" s="197"/>
      <c r="L499" s="197"/>
      <c r="M499" s="197"/>
      <c r="N499" s="197"/>
      <c r="O499" s="197"/>
      <c r="P499" s="197"/>
      <c r="Q499" s="197"/>
      <c r="R499" s="197"/>
      <c r="S499" s="197"/>
      <c r="T499" s="198"/>
      <c r="U499" s="198"/>
      <c r="V499" s="198"/>
      <c r="W499" s="198"/>
      <c r="X499" s="198"/>
      <c r="Y499" s="198"/>
      <c r="Z499" s="198"/>
      <c r="AA499" s="198"/>
      <c r="AB499" s="198"/>
      <c r="AC499" s="198"/>
      <c r="AD499" s="198"/>
      <c r="AE499" s="198"/>
      <c r="AF499" s="198"/>
      <c r="AG499" s="198"/>
      <c r="AH499" s="198"/>
      <c r="AI499" s="198"/>
      <c r="AJ499" s="198"/>
      <c r="AK499" s="198"/>
      <c r="AL499" s="198"/>
      <c r="AM499" s="198"/>
      <c r="AN499" s="198"/>
      <c r="AO499" s="198"/>
      <c r="AP499" s="198"/>
      <c r="AQ499" s="198"/>
      <c r="AR499" s="198"/>
      <c r="AS499" s="198"/>
      <c r="AT499" s="198"/>
      <c r="AU499" s="198"/>
      <c r="AV499" s="198"/>
      <c r="AW499" s="198"/>
      <c r="AX499" s="198"/>
      <c r="AY499" s="198"/>
      <c r="AZ499" s="198"/>
      <c r="BA499" s="198"/>
      <c r="BB499" s="198"/>
      <c r="BC499" s="198"/>
      <c r="BD499" s="198"/>
      <c r="BE499" s="198"/>
      <c r="BF499" s="198"/>
      <c r="BG499" s="198"/>
      <c r="BH499" s="198"/>
      <c r="BI499" s="198"/>
      <c r="BJ499" s="198"/>
      <c r="BK499" s="198"/>
      <c r="BL499" s="198"/>
      <c r="BM499" s="198"/>
      <c r="BN499" s="198"/>
      <c r="BO499" s="198"/>
      <c r="BP499" s="198"/>
      <c r="BQ499" s="198"/>
      <c r="BR499" s="198"/>
      <c r="BS499" s="198"/>
      <c r="BT499" s="198"/>
      <c r="BU499" s="198"/>
      <c r="BV499" s="198"/>
      <c r="BW499" s="198"/>
      <c r="BX499" s="198"/>
      <c r="BY499" s="198"/>
      <c r="BZ499" s="198"/>
      <c r="CA499" s="198"/>
      <c r="CB499" s="198"/>
      <c r="CC499" s="198"/>
      <c r="CD499" s="198"/>
      <c r="CE499" s="198"/>
      <c r="CF499" s="198"/>
      <c r="CG499" s="198"/>
    </row>
    <row r="500" spans="1:85" s="199" customFormat="1" x14ac:dyDescent="0.25">
      <c r="A500" s="800"/>
      <c r="B500" s="301" t="s">
        <v>505</v>
      </c>
      <c r="C500" s="801"/>
      <c r="D500" s="802"/>
      <c r="E500" s="302"/>
      <c r="F500" s="803"/>
      <c r="G500" s="803"/>
      <c r="H500" s="804"/>
      <c r="I500" s="197"/>
      <c r="J500" s="197"/>
      <c r="K500" s="197"/>
      <c r="L500" s="197"/>
      <c r="M500" s="197"/>
      <c r="N500" s="197"/>
      <c r="O500" s="197"/>
      <c r="P500" s="197"/>
      <c r="Q500" s="197"/>
      <c r="R500" s="197"/>
      <c r="S500" s="197"/>
      <c r="T500" s="198"/>
      <c r="U500" s="198"/>
      <c r="V500" s="198"/>
      <c r="W500" s="198"/>
      <c r="X500" s="198"/>
      <c r="Y500" s="198"/>
      <c r="Z500" s="198"/>
      <c r="AA500" s="198"/>
      <c r="AB500" s="198"/>
      <c r="AC500" s="198"/>
      <c r="AD500" s="198"/>
      <c r="AE500" s="198"/>
      <c r="AF500" s="198"/>
      <c r="AG500" s="198"/>
      <c r="AH500" s="198"/>
      <c r="AI500" s="198"/>
      <c r="AJ500" s="198"/>
      <c r="AK500" s="198"/>
      <c r="AL500" s="198"/>
      <c r="AM500" s="198"/>
      <c r="AN500" s="198"/>
      <c r="AO500" s="198"/>
      <c r="AP500" s="198"/>
      <c r="AQ500" s="198"/>
      <c r="AR500" s="198"/>
      <c r="AS500" s="198"/>
      <c r="AT500" s="198"/>
      <c r="AU500" s="198"/>
      <c r="AV500" s="198"/>
      <c r="AW500" s="198"/>
      <c r="AX500" s="198"/>
      <c r="AY500" s="198"/>
      <c r="AZ500" s="198"/>
      <c r="BA500" s="198"/>
      <c r="BB500" s="198"/>
      <c r="BC500" s="198"/>
      <c r="BD500" s="198"/>
      <c r="BE500" s="198"/>
      <c r="BF500" s="198"/>
      <c r="BG500" s="198"/>
      <c r="BH500" s="198"/>
      <c r="BI500" s="198"/>
      <c r="BJ500" s="198"/>
      <c r="BK500" s="198"/>
      <c r="BL500" s="198"/>
      <c r="BM500" s="198"/>
      <c r="BN500" s="198"/>
      <c r="BO500" s="198"/>
      <c r="BP500" s="198"/>
      <c r="BQ500" s="198"/>
      <c r="BR500" s="198"/>
      <c r="BS500" s="198"/>
      <c r="BT500" s="198"/>
      <c r="BU500" s="198"/>
      <c r="BV500" s="198"/>
      <c r="BW500" s="198"/>
      <c r="BX500" s="198"/>
      <c r="BY500" s="198"/>
      <c r="BZ500" s="198"/>
      <c r="CA500" s="198"/>
      <c r="CB500" s="198"/>
      <c r="CC500" s="198"/>
      <c r="CD500" s="198"/>
      <c r="CE500" s="198"/>
      <c r="CF500" s="198"/>
      <c r="CG500" s="198"/>
    </row>
    <row r="501" spans="1:85" s="199" customFormat="1" x14ac:dyDescent="0.25">
      <c r="A501" s="800"/>
      <c r="B501" s="301" t="s">
        <v>506</v>
      </c>
      <c r="C501" s="801"/>
      <c r="D501" s="802"/>
      <c r="E501" s="302"/>
      <c r="F501" s="803"/>
      <c r="G501" s="803"/>
      <c r="H501" s="804"/>
      <c r="I501" s="197"/>
      <c r="J501" s="197"/>
      <c r="K501" s="197"/>
      <c r="L501" s="197"/>
      <c r="M501" s="197"/>
      <c r="N501" s="197"/>
      <c r="O501" s="197"/>
      <c r="P501" s="197"/>
      <c r="Q501" s="197"/>
      <c r="R501" s="197"/>
      <c r="S501" s="197"/>
      <c r="T501" s="198"/>
      <c r="U501" s="198"/>
      <c r="V501" s="198"/>
      <c r="W501" s="198"/>
      <c r="X501" s="198"/>
      <c r="Y501" s="198"/>
      <c r="Z501" s="198"/>
      <c r="AA501" s="198"/>
      <c r="AB501" s="198"/>
      <c r="AC501" s="198"/>
      <c r="AD501" s="198"/>
      <c r="AE501" s="198"/>
      <c r="AF501" s="198"/>
      <c r="AG501" s="198"/>
      <c r="AH501" s="198"/>
      <c r="AI501" s="198"/>
      <c r="AJ501" s="198"/>
      <c r="AK501" s="198"/>
      <c r="AL501" s="198"/>
      <c r="AM501" s="198"/>
      <c r="AN501" s="198"/>
      <c r="AO501" s="198"/>
      <c r="AP501" s="198"/>
      <c r="AQ501" s="198"/>
      <c r="AR501" s="198"/>
      <c r="AS501" s="198"/>
      <c r="AT501" s="198"/>
      <c r="AU501" s="198"/>
      <c r="AV501" s="198"/>
      <c r="AW501" s="198"/>
      <c r="AX501" s="198"/>
      <c r="AY501" s="198"/>
      <c r="AZ501" s="198"/>
      <c r="BA501" s="198"/>
      <c r="BB501" s="198"/>
      <c r="BC501" s="198"/>
      <c r="BD501" s="198"/>
      <c r="BE501" s="198"/>
      <c r="BF501" s="198"/>
      <c r="BG501" s="198"/>
      <c r="BH501" s="198"/>
      <c r="BI501" s="198"/>
      <c r="BJ501" s="198"/>
      <c r="BK501" s="198"/>
      <c r="BL501" s="198"/>
      <c r="BM501" s="198"/>
      <c r="BN501" s="198"/>
      <c r="BO501" s="198"/>
      <c r="BP501" s="198"/>
      <c r="BQ501" s="198"/>
      <c r="BR501" s="198"/>
      <c r="BS501" s="198"/>
      <c r="BT501" s="198"/>
      <c r="BU501" s="198"/>
      <c r="BV501" s="198"/>
      <c r="BW501" s="198"/>
      <c r="BX501" s="198"/>
      <c r="BY501" s="198"/>
      <c r="BZ501" s="198"/>
      <c r="CA501" s="198"/>
      <c r="CB501" s="198"/>
      <c r="CC501" s="198"/>
      <c r="CD501" s="198"/>
      <c r="CE501" s="198"/>
      <c r="CF501" s="198"/>
      <c r="CG501" s="198"/>
    </row>
    <row r="502" spans="1:85" s="199" customFormat="1" x14ac:dyDescent="0.25">
      <c r="A502" s="800"/>
      <c r="B502" s="301" t="s">
        <v>507</v>
      </c>
      <c r="C502" s="801"/>
      <c r="D502" s="802"/>
      <c r="E502" s="302"/>
      <c r="F502" s="803"/>
      <c r="G502" s="803"/>
      <c r="H502" s="804"/>
      <c r="I502" s="197"/>
      <c r="J502" s="197"/>
      <c r="K502" s="197"/>
      <c r="L502" s="197"/>
      <c r="M502" s="197"/>
      <c r="N502" s="197"/>
      <c r="O502" s="197"/>
      <c r="P502" s="197"/>
      <c r="Q502" s="197"/>
      <c r="R502" s="197"/>
      <c r="S502" s="197"/>
      <c r="T502" s="198"/>
      <c r="U502" s="198"/>
      <c r="V502" s="198"/>
      <c r="W502" s="198"/>
      <c r="X502" s="198"/>
      <c r="Y502" s="198"/>
      <c r="Z502" s="198"/>
      <c r="AA502" s="198"/>
      <c r="AB502" s="198"/>
      <c r="AC502" s="198"/>
      <c r="AD502" s="198"/>
      <c r="AE502" s="198"/>
      <c r="AF502" s="198"/>
      <c r="AG502" s="198"/>
      <c r="AH502" s="198"/>
      <c r="AI502" s="198"/>
      <c r="AJ502" s="198"/>
      <c r="AK502" s="198"/>
      <c r="AL502" s="198"/>
      <c r="AM502" s="198"/>
      <c r="AN502" s="198"/>
      <c r="AO502" s="198"/>
      <c r="AP502" s="198"/>
      <c r="AQ502" s="198"/>
      <c r="AR502" s="198"/>
      <c r="AS502" s="198"/>
      <c r="AT502" s="198"/>
      <c r="AU502" s="198"/>
      <c r="AV502" s="198"/>
      <c r="AW502" s="198"/>
      <c r="AX502" s="198"/>
      <c r="AY502" s="198"/>
      <c r="AZ502" s="198"/>
      <c r="BA502" s="198"/>
      <c r="BB502" s="198"/>
      <c r="BC502" s="198"/>
      <c r="BD502" s="198"/>
      <c r="BE502" s="198"/>
      <c r="BF502" s="198"/>
      <c r="BG502" s="198"/>
      <c r="BH502" s="198"/>
      <c r="BI502" s="198"/>
      <c r="BJ502" s="198"/>
      <c r="BK502" s="198"/>
      <c r="BL502" s="198"/>
      <c r="BM502" s="198"/>
      <c r="BN502" s="198"/>
      <c r="BO502" s="198"/>
      <c r="BP502" s="198"/>
      <c r="BQ502" s="198"/>
      <c r="BR502" s="198"/>
      <c r="BS502" s="198"/>
      <c r="BT502" s="198"/>
      <c r="BU502" s="198"/>
      <c r="BV502" s="198"/>
      <c r="BW502" s="198"/>
      <c r="BX502" s="198"/>
      <c r="BY502" s="198"/>
      <c r="BZ502" s="198"/>
      <c r="CA502" s="198"/>
      <c r="CB502" s="198"/>
      <c r="CC502" s="198"/>
      <c r="CD502" s="198"/>
      <c r="CE502" s="198"/>
      <c r="CF502" s="198"/>
      <c r="CG502" s="198"/>
    </row>
    <row r="503" spans="1:85" s="199" customFormat="1" x14ac:dyDescent="0.25">
      <c r="A503" s="800"/>
      <c r="B503" s="301" t="s">
        <v>333</v>
      </c>
      <c r="C503" s="801"/>
      <c r="D503" s="802"/>
      <c r="E503" s="302"/>
      <c r="F503" s="803"/>
      <c r="G503" s="803"/>
      <c r="H503" s="804"/>
      <c r="I503" s="197"/>
      <c r="J503" s="197"/>
      <c r="K503" s="197"/>
      <c r="L503" s="197"/>
      <c r="M503" s="197"/>
      <c r="N503" s="197"/>
      <c r="O503" s="197"/>
      <c r="P503" s="197"/>
      <c r="Q503" s="197"/>
      <c r="R503" s="197"/>
      <c r="S503" s="197"/>
      <c r="T503" s="198"/>
      <c r="U503" s="198"/>
      <c r="V503" s="198"/>
      <c r="W503" s="198"/>
      <c r="X503" s="198"/>
      <c r="Y503" s="198"/>
      <c r="Z503" s="198"/>
      <c r="AA503" s="198"/>
      <c r="AB503" s="198"/>
      <c r="AC503" s="198"/>
      <c r="AD503" s="198"/>
      <c r="AE503" s="198"/>
      <c r="AF503" s="198"/>
      <c r="AG503" s="198"/>
      <c r="AH503" s="198"/>
      <c r="AI503" s="198"/>
      <c r="AJ503" s="198"/>
      <c r="AK503" s="198"/>
      <c r="AL503" s="198"/>
      <c r="AM503" s="198"/>
      <c r="AN503" s="198"/>
      <c r="AO503" s="198"/>
      <c r="AP503" s="198"/>
      <c r="AQ503" s="198"/>
      <c r="AR503" s="198"/>
      <c r="AS503" s="198"/>
      <c r="AT503" s="198"/>
      <c r="AU503" s="198"/>
      <c r="AV503" s="198"/>
      <c r="AW503" s="198"/>
      <c r="AX503" s="198"/>
      <c r="AY503" s="198"/>
      <c r="AZ503" s="198"/>
      <c r="BA503" s="198"/>
      <c r="BB503" s="198"/>
      <c r="BC503" s="198"/>
      <c r="BD503" s="198"/>
      <c r="BE503" s="198"/>
      <c r="BF503" s="198"/>
      <c r="BG503" s="198"/>
      <c r="BH503" s="198"/>
      <c r="BI503" s="198"/>
      <c r="BJ503" s="198"/>
      <c r="BK503" s="198"/>
      <c r="BL503" s="198"/>
      <c r="BM503" s="198"/>
      <c r="BN503" s="198"/>
      <c r="BO503" s="198"/>
      <c r="BP503" s="198"/>
      <c r="BQ503" s="198"/>
      <c r="BR503" s="198"/>
      <c r="BS503" s="198"/>
      <c r="BT503" s="198"/>
      <c r="BU503" s="198"/>
      <c r="BV503" s="198"/>
      <c r="BW503" s="198"/>
      <c r="BX503" s="198"/>
      <c r="BY503" s="198"/>
      <c r="BZ503" s="198"/>
      <c r="CA503" s="198"/>
      <c r="CB503" s="198"/>
      <c r="CC503" s="198"/>
      <c r="CD503" s="198"/>
      <c r="CE503" s="198"/>
      <c r="CF503" s="198"/>
      <c r="CG503" s="198"/>
    </row>
    <row r="504" spans="1:85" s="199" customFormat="1" x14ac:dyDescent="0.25">
      <c r="A504" s="800"/>
      <c r="B504" s="301"/>
      <c r="C504" s="801"/>
      <c r="D504" s="802"/>
      <c r="E504" s="302"/>
      <c r="F504" s="803"/>
      <c r="G504" s="803"/>
      <c r="H504" s="804"/>
      <c r="I504" s="197"/>
      <c r="J504" s="197"/>
      <c r="K504" s="197"/>
      <c r="L504" s="197"/>
      <c r="M504" s="197"/>
      <c r="N504" s="197"/>
      <c r="O504" s="197"/>
      <c r="P504" s="197"/>
      <c r="Q504" s="197"/>
      <c r="R504" s="197"/>
      <c r="S504" s="197"/>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c r="BI504" s="198"/>
      <c r="BJ504" s="198"/>
      <c r="BK504" s="198"/>
      <c r="BL504" s="198"/>
      <c r="BM504" s="198"/>
      <c r="BN504" s="198"/>
      <c r="BO504" s="198"/>
      <c r="BP504" s="198"/>
      <c r="BQ504" s="198"/>
      <c r="BR504" s="198"/>
      <c r="BS504" s="198"/>
      <c r="BT504" s="198"/>
      <c r="BU504" s="198"/>
      <c r="BV504" s="198"/>
      <c r="BW504" s="198"/>
      <c r="BX504" s="198"/>
      <c r="BY504" s="198"/>
      <c r="BZ504" s="198"/>
      <c r="CA504" s="198"/>
      <c r="CB504" s="198"/>
      <c r="CC504" s="198"/>
      <c r="CD504" s="198"/>
      <c r="CE504" s="198"/>
      <c r="CF504" s="198"/>
      <c r="CG504" s="198"/>
    </row>
    <row r="505" spans="1:85" s="199" customFormat="1" x14ac:dyDescent="0.25">
      <c r="A505" s="800"/>
      <c r="B505" s="301"/>
      <c r="C505" s="801"/>
      <c r="D505" s="802"/>
      <c r="E505" s="302"/>
      <c r="F505" s="803"/>
      <c r="G505" s="803"/>
      <c r="H505" s="804"/>
      <c r="I505" s="197"/>
      <c r="J505" s="197"/>
      <c r="K505" s="197"/>
      <c r="L505" s="197"/>
      <c r="M505" s="197"/>
      <c r="N505" s="197"/>
      <c r="O505" s="197"/>
      <c r="P505" s="197"/>
      <c r="Q505" s="197"/>
      <c r="R505" s="197"/>
      <c r="S505" s="197"/>
      <c r="T505" s="198"/>
      <c r="U505" s="198"/>
      <c r="V505" s="198"/>
      <c r="W505" s="198"/>
      <c r="X505" s="198"/>
      <c r="Y505" s="198"/>
      <c r="Z505" s="198"/>
      <c r="AA505" s="198"/>
      <c r="AB505" s="198"/>
      <c r="AC505" s="198"/>
      <c r="AD505" s="198"/>
      <c r="AE505" s="198"/>
      <c r="AF505" s="198"/>
      <c r="AG505" s="198"/>
      <c r="AH505" s="198"/>
      <c r="AI505" s="198"/>
      <c r="AJ505" s="198"/>
      <c r="AK505" s="198"/>
      <c r="AL505" s="198"/>
      <c r="AM505" s="198"/>
      <c r="AN505" s="198"/>
      <c r="AO505" s="198"/>
      <c r="AP505" s="198"/>
      <c r="AQ505" s="198"/>
      <c r="AR505" s="198"/>
      <c r="AS505" s="198"/>
      <c r="AT505" s="198"/>
      <c r="AU505" s="198"/>
      <c r="AV505" s="198"/>
      <c r="AW505" s="198"/>
      <c r="AX505" s="198"/>
      <c r="AY505" s="198"/>
      <c r="AZ505" s="198"/>
      <c r="BA505" s="198"/>
      <c r="BB505" s="198"/>
      <c r="BC505" s="198"/>
      <c r="BD505" s="198"/>
      <c r="BE505" s="198"/>
      <c r="BF505" s="198"/>
      <c r="BG505" s="198"/>
      <c r="BH505" s="198"/>
      <c r="BI505" s="198"/>
      <c r="BJ505" s="198"/>
      <c r="BK505" s="198"/>
      <c r="BL505" s="198"/>
      <c r="BM505" s="198"/>
      <c r="BN505" s="198"/>
      <c r="BO505" s="198"/>
      <c r="BP505" s="198"/>
      <c r="BQ505" s="198"/>
      <c r="BR505" s="198"/>
      <c r="BS505" s="198"/>
      <c r="BT505" s="198"/>
      <c r="BU505" s="198"/>
      <c r="BV505" s="198"/>
      <c r="BW505" s="198"/>
      <c r="BX505" s="198"/>
      <c r="BY505" s="198"/>
      <c r="BZ505" s="198"/>
      <c r="CA505" s="198"/>
      <c r="CB505" s="198"/>
      <c r="CC505" s="198"/>
      <c r="CD505" s="198"/>
      <c r="CE505" s="198"/>
      <c r="CF505" s="198"/>
      <c r="CG505" s="198"/>
    </row>
    <row r="506" spans="1:85" s="199" customFormat="1" ht="15.6" x14ac:dyDescent="0.3">
      <c r="A506" s="917" t="s">
        <v>413</v>
      </c>
      <c r="B506" s="918"/>
      <c r="C506" s="214"/>
      <c r="D506" s="215"/>
      <c r="E506" s="215"/>
      <c r="F506" s="215"/>
      <c r="G506" s="215"/>
      <c r="H506" s="835"/>
      <c r="I506" s="197"/>
      <c r="J506" s="197"/>
      <c r="K506" s="197"/>
      <c r="L506" s="197"/>
      <c r="M506" s="197"/>
      <c r="N506" s="197"/>
      <c r="O506" s="197"/>
      <c r="P506" s="197"/>
      <c r="Q506" s="197"/>
      <c r="R506" s="197"/>
      <c r="S506" s="197"/>
      <c r="T506" s="198"/>
      <c r="U506" s="198"/>
      <c r="V506" s="198"/>
      <c r="W506" s="198"/>
      <c r="X506" s="198"/>
      <c r="Y506" s="198"/>
      <c r="Z506" s="198"/>
      <c r="AA506" s="198"/>
      <c r="AB506" s="198"/>
      <c r="AC506" s="198"/>
      <c r="AD506" s="198"/>
      <c r="AE506" s="198"/>
      <c r="AF506" s="198"/>
      <c r="AG506" s="198"/>
      <c r="AH506" s="198"/>
      <c r="AI506" s="198"/>
      <c r="AJ506" s="198"/>
      <c r="AK506" s="198"/>
      <c r="AL506" s="198"/>
      <c r="AM506" s="198"/>
      <c r="AN506" s="198"/>
      <c r="AO506" s="198"/>
      <c r="AP506" s="198"/>
      <c r="AQ506" s="198"/>
      <c r="AR506" s="198"/>
      <c r="AS506" s="198"/>
      <c r="AT506" s="198"/>
      <c r="AU506" s="198"/>
      <c r="AV506" s="198"/>
      <c r="AW506" s="198"/>
      <c r="AX506" s="198"/>
      <c r="AY506" s="198"/>
      <c r="AZ506" s="198"/>
      <c r="BA506" s="198"/>
      <c r="BB506" s="198"/>
      <c r="BC506" s="198"/>
      <c r="BD506" s="198"/>
      <c r="BE506" s="198"/>
      <c r="BF506" s="198"/>
      <c r="BG506" s="198"/>
      <c r="BH506" s="198"/>
      <c r="BI506" s="198"/>
      <c r="BJ506" s="198"/>
      <c r="BK506" s="198"/>
      <c r="BL506" s="198"/>
      <c r="BM506" s="198"/>
      <c r="BN506" s="198"/>
      <c r="BO506" s="198"/>
      <c r="BP506" s="198"/>
      <c r="BQ506" s="198"/>
      <c r="BR506" s="198"/>
      <c r="BS506" s="198"/>
      <c r="BT506" s="198"/>
      <c r="BU506" s="198"/>
      <c r="BV506" s="198"/>
      <c r="BW506" s="198"/>
      <c r="BX506" s="198"/>
      <c r="BY506" s="198"/>
      <c r="BZ506" s="198"/>
      <c r="CA506" s="198"/>
      <c r="CB506" s="198"/>
      <c r="CC506" s="198"/>
      <c r="CD506" s="198"/>
      <c r="CE506" s="198"/>
      <c r="CF506" s="198"/>
      <c r="CG506" s="198"/>
    </row>
    <row r="507" spans="1:85" s="199" customFormat="1" x14ac:dyDescent="0.25">
      <c r="A507" s="176"/>
      <c r="B507" s="170" t="s">
        <v>414</v>
      </c>
      <c r="C507" s="218"/>
      <c r="D507" s="237"/>
      <c r="E507" s="237"/>
      <c r="F507" s="237"/>
      <c r="G507" s="237"/>
      <c r="H507" s="836"/>
      <c r="I507" s="197"/>
      <c r="J507" s="197"/>
      <c r="K507" s="197"/>
      <c r="L507" s="197"/>
      <c r="M507" s="197"/>
      <c r="N507" s="197"/>
      <c r="O507" s="197"/>
      <c r="P507" s="197"/>
      <c r="Q507" s="197"/>
      <c r="R507" s="197"/>
      <c r="S507" s="197"/>
      <c r="T507" s="198"/>
      <c r="U507" s="198"/>
      <c r="V507" s="198"/>
      <c r="W507" s="198"/>
      <c r="X507" s="198"/>
      <c r="Y507" s="198"/>
      <c r="Z507" s="198"/>
      <c r="AA507" s="198"/>
      <c r="AB507" s="198"/>
      <c r="AC507" s="198"/>
      <c r="AD507" s="198"/>
      <c r="AE507" s="198"/>
      <c r="AF507" s="198"/>
      <c r="AG507" s="198"/>
      <c r="AH507" s="198"/>
      <c r="AI507" s="198"/>
      <c r="AJ507" s="198"/>
      <c r="AK507" s="198"/>
      <c r="AL507" s="198"/>
      <c r="AM507" s="198"/>
      <c r="AN507" s="198"/>
      <c r="AO507" s="198"/>
      <c r="AP507" s="198"/>
      <c r="AQ507" s="198"/>
      <c r="AR507" s="198"/>
      <c r="AS507" s="198"/>
      <c r="AT507" s="198"/>
      <c r="AU507" s="198"/>
      <c r="AV507" s="198"/>
      <c r="AW507" s="198"/>
      <c r="AX507" s="198"/>
      <c r="AY507" s="198"/>
      <c r="AZ507" s="198"/>
      <c r="BA507" s="198"/>
      <c r="BB507" s="198"/>
      <c r="BC507" s="198"/>
      <c r="BD507" s="198"/>
      <c r="BE507" s="198"/>
      <c r="BF507" s="198"/>
      <c r="BG507" s="198"/>
      <c r="BH507" s="198"/>
      <c r="BI507" s="198"/>
      <c r="BJ507" s="198"/>
      <c r="BK507" s="198"/>
      <c r="BL507" s="198"/>
      <c r="BM507" s="198"/>
      <c r="BN507" s="198"/>
      <c r="BO507" s="198"/>
      <c r="BP507" s="198"/>
      <c r="BQ507" s="198"/>
      <c r="BR507" s="198"/>
      <c r="BS507" s="198"/>
      <c r="BT507" s="198"/>
      <c r="BU507" s="198"/>
      <c r="BV507" s="198"/>
      <c r="BW507" s="198"/>
      <c r="BX507" s="198"/>
      <c r="BY507" s="198"/>
      <c r="BZ507" s="198"/>
      <c r="CA507" s="198"/>
      <c r="CB507" s="198"/>
      <c r="CC507" s="198"/>
      <c r="CD507" s="198"/>
      <c r="CE507" s="198"/>
      <c r="CF507" s="198"/>
      <c r="CG507" s="198"/>
    </row>
    <row r="508" spans="1:85" s="199" customFormat="1" x14ac:dyDescent="0.25">
      <c r="A508" s="176"/>
      <c r="B508" s="170" t="s">
        <v>415</v>
      </c>
      <c r="C508" s="218"/>
      <c r="D508" s="237"/>
      <c r="E508" s="237"/>
      <c r="F508" s="237"/>
      <c r="G508" s="237"/>
      <c r="H508" s="836"/>
      <c r="I508" s="197"/>
      <c r="J508" s="197"/>
      <c r="K508" s="197"/>
      <c r="L508" s="197"/>
      <c r="M508" s="197"/>
      <c r="N508" s="197"/>
      <c r="O508" s="197"/>
      <c r="P508" s="197"/>
      <c r="Q508" s="197"/>
      <c r="R508" s="197"/>
      <c r="S508" s="197"/>
      <c r="T508" s="198"/>
      <c r="U508" s="198"/>
      <c r="V508" s="198"/>
      <c r="W508" s="198"/>
      <c r="X508" s="198"/>
      <c r="Y508" s="198"/>
      <c r="Z508" s="198"/>
      <c r="AA508" s="198"/>
      <c r="AB508" s="198"/>
      <c r="AC508" s="198"/>
      <c r="AD508" s="198"/>
      <c r="AE508" s="198"/>
      <c r="AF508" s="198"/>
      <c r="AG508" s="198"/>
      <c r="AH508" s="198"/>
      <c r="AI508" s="198"/>
      <c r="AJ508" s="198"/>
      <c r="AK508" s="198"/>
      <c r="AL508" s="198"/>
      <c r="AM508" s="198"/>
      <c r="AN508" s="198"/>
      <c r="AO508" s="198"/>
      <c r="AP508" s="198"/>
      <c r="AQ508" s="198"/>
      <c r="AR508" s="198"/>
      <c r="AS508" s="198"/>
      <c r="AT508" s="198"/>
      <c r="AU508" s="198"/>
      <c r="AV508" s="198"/>
      <c r="AW508" s="198"/>
      <c r="AX508" s="198"/>
      <c r="AY508" s="198"/>
      <c r="AZ508" s="198"/>
      <c r="BA508" s="198"/>
      <c r="BB508" s="198"/>
      <c r="BC508" s="198"/>
      <c r="BD508" s="198"/>
      <c r="BE508" s="198"/>
      <c r="BF508" s="198"/>
      <c r="BG508" s="198"/>
      <c r="BH508" s="198"/>
      <c r="BI508" s="198"/>
      <c r="BJ508" s="198"/>
      <c r="BK508" s="198"/>
      <c r="BL508" s="198"/>
      <c r="BM508" s="198"/>
      <c r="BN508" s="198"/>
      <c r="BO508" s="198"/>
      <c r="BP508" s="198"/>
      <c r="BQ508" s="198"/>
      <c r="BR508" s="198"/>
      <c r="BS508" s="198"/>
      <c r="BT508" s="198"/>
      <c r="BU508" s="198"/>
      <c r="BV508" s="198"/>
      <c r="BW508" s="198"/>
      <c r="BX508" s="198"/>
      <c r="BY508" s="198"/>
      <c r="BZ508" s="198"/>
      <c r="CA508" s="198"/>
      <c r="CB508" s="198"/>
      <c r="CC508" s="198"/>
      <c r="CD508" s="198"/>
      <c r="CE508" s="198"/>
      <c r="CF508" s="198"/>
      <c r="CG508" s="198"/>
    </row>
    <row r="509" spans="1:85" s="199" customFormat="1" x14ac:dyDescent="0.25">
      <c r="A509" s="176"/>
      <c r="B509" s="170" t="s">
        <v>416</v>
      </c>
      <c r="C509" s="218"/>
      <c r="D509" s="237"/>
      <c r="E509" s="237"/>
      <c r="F509" s="237"/>
      <c r="G509" s="237"/>
      <c r="H509" s="836"/>
      <c r="I509" s="197"/>
      <c r="J509" s="197"/>
      <c r="K509" s="197"/>
      <c r="L509" s="197"/>
      <c r="M509" s="197"/>
      <c r="N509" s="197"/>
      <c r="O509" s="197"/>
      <c r="P509" s="197"/>
      <c r="Q509" s="197"/>
      <c r="R509" s="197"/>
      <c r="S509" s="197"/>
      <c r="T509" s="198"/>
      <c r="U509" s="198"/>
      <c r="V509" s="198"/>
      <c r="W509" s="198"/>
      <c r="X509" s="198"/>
      <c r="Y509" s="198"/>
      <c r="Z509" s="198"/>
      <c r="AA509" s="198"/>
      <c r="AB509" s="198"/>
      <c r="AC509" s="198"/>
      <c r="AD509" s="198"/>
      <c r="AE509" s="198"/>
      <c r="AF509" s="198"/>
      <c r="AG509" s="198"/>
      <c r="AH509" s="198"/>
      <c r="AI509" s="198"/>
      <c r="AJ509" s="198"/>
      <c r="AK509" s="198"/>
      <c r="AL509" s="198"/>
      <c r="AM509" s="198"/>
      <c r="AN509" s="198"/>
      <c r="AO509" s="198"/>
      <c r="AP509" s="198"/>
      <c r="AQ509" s="198"/>
      <c r="AR509" s="198"/>
      <c r="AS509" s="198"/>
      <c r="AT509" s="198"/>
      <c r="AU509" s="198"/>
      <c r="AV509" s="198"/>
      <c r="AW509" s="198"/>
      <c r="AX509" s="198"/>
      <c r="AY509" s="198"/>
      <c r="AZ509" s="198"/>
      <c r="BA509" s="198"/>
      <c r="BB509" s="198"/>
      <c r="BC509" s="198"/>
      <c r="BD509" s="198"/>
      <c r="BE509" s="198"/>
      <c r="BF509" s="198"/>
      <c r="BG509" s="198"/>
      <c r="BH509" s="198"/>
      <c r="BI509" s="198"/>
      <c r="BJ509" s="198"/>
      <c r="BK509" s="198"/>
      <c r="BL509" s="198"/>
      <c r="BM509" s="198"/>
      <c r="BN509" s="198"/>
      <c r="BO509" s="198"/>
      <c r="BP509" s="198"/>
      <c r="BQ509" s="198"/>
      <c r="BR509" s="198"/>
      <c r="BS509" s="198"/>
      <c r="BT509" s="198"/>
      <c r="BU509" s="198"/>
      <c r="BV509" s="198"/>
      <c r="BW509" s="198"/>
      <c r="BX509" s="198"/>
      <c r="BY509" s="198"/>
      <c r="BZ509" s="198"/>
      <c r="CA509" s="198"/>
      <c r="CB509" s="198"/>
      <c r="CC509" s="198"/>
      <c r="CD509" s="198"/>
      <c r="CE509" s="198"/>
      <c r="CF509" s="198"/>
      <c r="CG509" s="198"/>
    </row>
    <row r="510" spans="1:85" s="199" customFormat="1" x14ac:dyDescent="0.25">
      <c r="A510" s="176"/>
      <c r="B510" s="170" t="s">
        <v>417</v>
      </c>
      <c r="C510" s="218"/>
      <c r="D510" s="237"/>
      <c r="E510" s="237"/>
      <c r="F510" s="237"/>
      <c r="G510" s="237"/>
      <c r="H510" s="836"/>
      <c r="I510" s="197"/>
      <c r="J510" s="197"/>
      <c r="K510" s="197"/>
      <c r="L510" s="197"/>
      <c r="M510" s="197"/>
      <c r="N510" s="197"/>
      <c r="O510" s="197"/>
      <c r="P510" s="197"/>
      <c r="Q510" s="197"/>
      <c r="R510" s="197"/>
      <c r="S510" s="197"/>
      <c r="T510" s="198"/>
      <c r="U510" s="198"/>
      <c r="V510" s="198"/>
      <c r="W510" s="198"/>
      <c r="X510" s="198"/>
      <c r="Y510" s="198"/>
      <c r="Z510" s="198"/>
      <c r="AA510" s="198"/>
      <c r="AB510" s="198"/>
      <c r="AC510" s="198"/>
      <c r="AD510" s="198"/>
      <c r="AE510" s="198"/>
      <c r="AF510" s="198"/>
      <c r="AG510" s="198"/>
      <c r="AH510" s="198"/>
      <c r="AI510" s="198"/>
      <c r="AJ510" s="198"/>
      <c r="AK510" s="198"/>
      <c r="AL510" s="198"/>
      <c r="AM510" s="198"/>
      <c r="AN510" s="198"/>
      <c r="AO510" s="198"/>
      <c r="AP510" s="198"/>
      <c r="AQ510" s="198"/>
      <c r="AR510" s="198"/>
      <c r="AS510" s="198"/>
      <c r="AT510" s="198"/>
      <c r="AU510" s="198"/>
      <c r="AV510" s="198"/>
      <c r="AW510" s="198"/>
      <c r="AX510" s="198"/>
      <c r="AY510" s="198"/>
      <c r="AZ510" s="198"/>
      <c r="BA510" s="198"/>
      <c r="BB510" s="198"/>
      <c r="BC510" s="198"/>
      <c r="BD510" s="198"/>
      <c r="BE510" s="198"/>
      <c r="BF510" s="198"/>
      <c r="BG510" s="198"/>
      <c r="BH510" s="198"/>
      <c r="BI510" s="198"/>
      <c r="BJ510" s="198"/>
      <c r="BK510" s="198"/>
      <c r="BL510" s="198"/>
      <c r="BM510" s="198"/>
      <c r="BN510" s="198"/>
      <c r="BO510" s="198"/>
      <c r="BP510" s="198"/>
      <c r="BQ510" s="198"/>
      <c r="BR510" s="198"/>
      <c r="BS510" s="198"/>
      <c r="BT510" s="198"/>
      <c r="BU510" s="198"/>
      <c r="BV510" s="198"/>
      <c r="BW510" s="198"/>
      <c r="BX510" s="198"/>
      <c r="BY510" s="198"/>
      <c r="BZ510" s="198"/>
      <c r="CA510" s="198"/>
      <c r="CB510" s="198"/>
      <c r="CC510" s="198"/>
      <c r="CD510" s="198"/>
      <c r="CE510" s="198"/>
      <c r="CF510" s="198"/>
      <c r="CG510" s="198"/>
    </row>
    <row r="511" spans="1:85" s="199" customFormat="1" x14ac:dyDescent="0.25">
      <c r="A511" s="176"/>
      <c r="B511" s="170" t="s">
        <v>418</v>
      </c>
      <c r="C511" s="218"/>
      <c r="D511" s="237"/>
      <c r="E511" s="237"/>
      <c r="F511" s="237"/>
      <c r="G511" s="237"/>
      <c r="H511" s="836"/>
      <c r="I511" s="197"/>
      <c r="J511" s="197"/>
      <c r="K511" s="197"/>
      <c r="L511" s="197"/>
      <c r="M511" s="197"/>
      <c r="N511" s="197"/>
      <c r="O511" s="197"/>
      <c r="P511" s="197"/>
      <c r="Q511" s="197"/>
      <c r="R511" s="197"/>
      <c r="S511" s="197"/>
      <c r="T511" s="198"/>
      <c r="U511" s="198"/>
      <c r="V511" s="198"/>
      <c r="W511" s="198"/>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198"/>
      <c r="AU511" s="198"/>
      <c r="AV511" s="198"/>
      <c r="AW511" s="198"/>
      <c r="AX511" s="198"/>
      <c r="AY511" s="198"/>
      <c r="AZ511" s="198"/>
      <c r="BA511" s="198"/>
      <c r="BB511" s="198"/>
      <c r="BC511" s="198"/>
      <c r="BD511" s="198"/>
      <c r="BE511" s="198"/>
      <c r="BF511" s="198"/>
      <c r="BG511" s="198"/>
      <c r="BH511" s="198"/>
      <c r="BI511" s="198"/>
      <c r="BJ511" s="198"/>
      <c r="BK511" s="198"/>
      <c r="BL511" s="198"/>
      <c r="BM511" s="198"/>
      <c r="BN511" s="198"/>
      <c r="BO511" s="198"/>
      <c r="BP511" s="198"/>
      <c r="BQ511" s="198"/>
      <c r="BR511" s="198"/>
      <c r="BS511" s="198"/>
      <c r="BT511" s="198"/>
      <c r="BU511" s="198"/>
      <c r="BV511" s="198"/>
      <c r="BW511" s="198"/>
      <c r="BX511" s="198"/>
      <c r="BY511" s="198"/>
      <c r="BZ511" s="198"/>
      <c r="CA511" s="198"/>
      <c r="CB511" s="198"/>
      <c r="CC511" s="198"/>
      <c r="CD511" s="198"/>
      <c r="CE511" s="198"/>
      <c r="CF511" s="198"/>
      <c r="CG511" s="198"/>
    </row>
    <row r="512" spans="1:85" s="199" customFormat="1" x14ac:dyDescent="0.25">
      <c r="A512" s="176"/>
      <c r="B512" s="170" t="s">
        <v>419</v>
      </c>
      <c r="C512" s="218"/>
      <c r="D512" s="237"/>
      <c r="E512" s="237"/>
      <c r="F512" s="237"/>
      <c r="G512" s="237"/>
      <c r="H512" s="836"/>
      <c r="I512" s="197"/>
      <c r="J512" s="197"/>
      <c r="K512" s="197"/>
      <c r="L512" s="197"/>
      <c r="M512" s="197"/>
      <c r="N512" s="197"/>
      <c r="O512" s="197"/>
      <c r="P512" s="197"/>
      <c r="Q512" s="197"/>
      <c r="R512" s="197"/>
      <c r="S512" s="197"/>
      <c r="T512" s="198"/>
      <c r="U512" s="198"/>
      <c r="V512" s="198"/>
      <c r="W512" s="198"/>
      <c r="X512" s="198"/>
      <c r="Y512" s="198"/>
      <c r="Z512" s="198"/>
      <c r="AA512" s="198"/>
      <c r="AB512" s="198"/>
      <c r="AC512" s="198"/>
      <c r="AD512" s="198"/>
      <c r="AE512" s="198"/>
      <c r="AF512" s="198"/>
      <c r="AG512" s="198"/>
      <c r="AH512" s="198"/>
      <c r="AI512" s="198"/>
      <c r="AJ512" s="198"/>
      <c r="AK512" s="198"/>
      <c r="AL512" s="198"/>
      <c r="AM512" s="198"/>
      <c r="AN512" s="198"/>
      <c r="AO512" s="198"/>
      <c r="AP512" s="198"/>
      <c r="AQ512" s="198"/>
      <c r="AR512" s="198"/>
      <c r="AS512" s="198"/>
      <c r="AT512" s="198"/>
      <c r="AU512" s="198"/>
      <c r="AV512" s="198"/>
      <c r="AW512" s="198"/>
      <c r="AX512" s="198"/>
      <c r="AY512" s="198"/>
      <c r="AZ512" s="198"/>
      <c r="BA512" s="198"/>
      <c r="BB512" s="198"/>
      <c r="BC512" s="198"/>
      <c r="BD512" s="198"/>
      <c r="BE512" s="198"/>
      <c r="BF512" s="198"/>
      <c r="BG512" s="198"/>
      <c r="BH512" s="198"/>
      <c r="BI512" s="198"/>
      <c r="BJ512" s="198"/>
      <c r="BK512" s="198"/>
      <c r="BL512" s="198"/>
      <c r="BM512" s="198"/>
      <c r="BN512" s="198"/>
      <c r="BO512" s="198"/>
      <c r="BP512" s="198"/>
      <c r="BQ512" s="198"/>
      <c r="BR512" s="198"/>
      <c r="BS512" s="198"/>
      <c r="BT512" s="198"/>
      <c r="BU512" s="198"/>
      <c r="BV512" s="198"/>
      <c r="BW512" s="198"/>
      <c r="BX512" s="198"/>
      <c r="BY512" s="198"/>
      <c r="BZ512" s="198"/>
      <c r="CA512" s="198"/>
      <c r="CB512" s="198"/>
      <c r="CC512" s="198"/>
      <c r="CD512" s="198"/>
      <c r="CE512" s="198"/>
      <c r="CF512" s="198"/>
      <c r="CG512" s="198"/>
    </row>
    <row r="513" spans="1:85" s="199" customFormat="1" x14ac:dyDescent="0.25">
      <c r="A513" s="176"/>
      <c r="B513" s="170" t="s">
        <v>420</v>
      </c>
      <c r="C513" s="218"/>
      <c r="D513" s="237"/>
      <c r="E513" s="237"/>
      <c r="F513" s="237"/>
      <c r="G513" s="237"/>
      <c r="H513" s="836"/>
      <c r="I513" s="197"/>
      <c r="J513" s="197"/>
      <c r="K513" s="197"/>
      <c r="L513" s="197"/>
      <c r="M513" s="197"/>
      <c r="N513" s="197"/>
      <c r="O513" s="197"/>
      <c r="P513" s="197"/>
      <c r="Q513" s="197"/>
      <c r="R513" s="197"/>
      <c r="S513" s="197"/>
      <c r="T513" s="198"/>
      <c r="U513" s="198"/>
      <c r="V513" s="198"/>
      <c r="W513" s="198"/>
      <c r="X513" s="198"/>
      <c r="Y513" s="198"/>
      <c r="Z513" s="198"/>
      <c r="AA513" s="198"/>
      <c r="AB513" s="198"/>
      <c r="AC513" s="198"/>
      <c r="AD513" s="198"/>
      <c r="AE513" s="198"/>
      <c r="AF513" s="198"/>
      <c r="AG513" s="198"/>
      <c r="AH513" s="198"/>
      <c r="AI513" s="198"/>
      <c r="AJ513" s="198"/>
      <c r="AK513" s="198"/>
      <c r="AL513" s="198"/>
      <c r="AM513" s="198"/>
      <c r="AN513" s="198"/>
      <c r="AO513" s="198"/>
      <c r="AP513" s="198"/>
      <c r="AQ513" s="198"/>
      <c r="AR513" s="198"/>
      <c r="AS513" s="198"/>
      <c r="AT513" s="198"/>
      <c r="AU513" s="198"/>
      <c r="AV513" s="198"/>
      <c r="AW513" s="198"/>
      <c r="AX513" s="198"/>
      <c r="AY513" s="198"/>
      <c r="AZ513" s="198"/>
      <c r="BA513" s="198"/>
      <c r="BB513" s="198"/>
      <c r="BC513" s="198"/>
      <c r="BD513" s="198"/>
      <c r="BE513" s="198"/>
      <c r="BF513" s="198"/>
      <c r="BG513" s="198"/>
      <c r="BH513" s="198"/>
      <c r="BI513" s="198"/>
      <c r="BJ513" s="198"/>
      <c r="BK513" s="198"/>
      <c r="BL513" s="198"/>
      <c r="BM513" s="198"/>
      <c r="BN513" s="198"/>
      <c r="BO513" s="198"/>
      <c r="BP513" s="198"/>
      <c r="BQ513" s="198"/>
      <c r="BR513" s="198"/>
      <c r="BS513" s="198"/>
      <c r="BT513" s="198"/>
      <c r="BU513" s="198"/>
      <c r="BV513" s="198"/>
      <c r="BW513" s="198"/>
      <c r="BX513" s="198"/>
      <c r="BY513" s="198"/>
      <c r="BZ513" s="198"/>
      <c r="CA513" s="198"/>
      <c r="CB513" s="198"/>
      <c r="CC513" s="198"/>
      <c r="CD513" s="198"/>
      <c r="CE513" s="198"/>
      <c r="CF513" s="198"/>
      <c r="CG513" s="198"/>
    </row>
    <row r="514" spans="1:85" s="199" customFormat="1" x14ac:dyDescent="0.25">
      <c r="A514" s="176"/>
      <c r="B514" s="170" t="s">
        <v>421</v>
      </c>
      <c r="C514" s="218"/>
      <c r="D514" s="237"/>
      <c r="E514" s="237"/>
      <c r="F514" s="237"/>
      <c r="G514" s="237"/>
      <c r="H514" s="836"/>
      <c r="I514" s="197"/>
      <c r="J514" s="197"/>
      <c r="K514" s="197"/>
      <c r="L514" s="197"/>
      <c r="M514" s="197"/>
      <c r="N514" s="197"/>
      <c r="O514" s="197"/>
      <c r="P514" s="197"/>
      <c r="Q514" s="197"/>
      <c r="R514" s="197"/>
      <c r="S514" s="197"/>
      <c r="T514" s="198"/>
      <c r="U514" s="198"/>
      <c r="V514" s="198"/>
      <c r="W514" s="198"/>
      <c r="X514" s="198"/>
      <c r="Y514" s="198"/>
      <c r="Z514" s="198"/>
      <c r="AA514" s="198"/>
      <c r="AB514" s="198"/>
      <c r="AC514" s="198"/>
      <c r="AD514" s="198"/>
      <c r="AE514" s="198"/>
      <c r="AF514" s="198"/>
      <c r="AG514" s="198"/>
      <c r="AH514" s="198"/>
      <c r="AI514" s="198"/>
      <c r="AJ514" s="198"/>
      <c r="AK514" s="198"/>
      <c r="AL514" s="198"/>
      <c r="AM514" s="198"/>
      <c r="AN514" s="198"/>
      <c r="AO514" s="198"/>
      <c r="AP514" s="198"/>
      <c r="AQ514" s="198"/>
      <c r="AR514" s="198"/>
      <c r="AS514" s="198"/>
      <c r="AT514" s="198"/>
      <c r="AU514" s="198"/>
      <c r="AV514" s="198"/>
      <c r="AW514" s="198"/>
      <c r="AX514" s="198"/>
      <c r="AY514" s="198"/>
      <c r="AZ514" s="198"/>
      <c r="BA514" s="198"/>
      <c r="BB514" s="198"/>
      <c r="BC514" s="198"/>
      <c r="BD514" s="198"/>
      <c r="BE514" s="198"/>
      <c r="BF514" s="198"/>
      <c r="BG514" s="198"/>
      <c r="BH514" s="198"/>
      <c r="BI514" s="198"/>
      <c r="BJ514" s="198"/>
      <c r="BK514" s="198"/>
      <c r="BL514" s="198"/>
      <c r="BM514" s="198"/>
      <c r="BN514" s="198"/>
      <c r="BO514" s="198"/>
      <c r="BP514" s="198"/>
      <c r="BQ514" s="198"/>
      <c r="BR514" s="198"/>
      <c r="BS514" s="198"/>
      <c r="BT514" s="198"/>
      <c r="BU514" s="198"/>
      <c r="BV514" s="198"/>
      <c r="BW514" s="198"/>
      <c r="BX514" s="198"/>
      <c r="BY514" s="198"/>
      <c r="BZ514" s="198"/>
      <c r="CA514" s="198"/>
      <c r="CB514" s="198"/>
      <c r="CC514" s="198"/>
      <c r="CD514" s="198"/>
      <c r="CE514" s="198"/>
      <c r="CF514" s="198"/>
      <c r="CG514" s="198"/>
    </row>
    <row r="515" spans="1:85" s="199" customFormat="1" x14ac:dyDescent="0.25">
      <c r="A515" s="177"/>
      <c r="B515" s="173"/>
      <c r="C515" s="216"/>
      <c r="D515" s="217"/>
      <c r="E515" s="217"/>
      <c r="F515" s="217"/>
      <c r="G515" s="217"/>
      <c r="H515" s="837"/>
      <c r="I515" s="197"/>
      <c r="J515" s="197"/>
      <c r="K515" s="197"/>
      <c r="L515" s="197"/>
      <c r="M515" s="197"/>
      <c r="N515" s="197"/>
      <c r="O515" s="197"/>
      <c r="P515" s="197"/>
      <c r="Q515" s="197"/>
      <c r="R515" s="197"/>
      <c r="S515" s="197"/>
      <c r="T515" s="198"/>
      <c r="U515" s="198"/>
      <c r="V515" s="198"/>
      <c r="W515" s="198"/>
      <c r="X515" s="198"/>
      <c r="Y515" s="198"/>
      <c r="Z515" s="198"/>
      <c r="AA515" s="198"/>
      <c r="AB515" s="198"/>
      <c r="AC515" s="198"/>
      <c r="AD515" s="198"/>
      <c r="AE515" s="198"/>
      <c r="AF515" s="198"/>
      <c r="AG515" s="198"/>
      <c r="AH515" s="198"/>
      <c r="AI515" s="198"/>
      <c r="AJ515" s="198"/>
      <c r="AK515" s="198"/>
      <c r="AL515" s="198"/>
      <c r="AM515" s="198"/>
      <c r="AN515" s="198"/>
      <c r="AO515" s="198"/>
      <c r="AP515" s="198"/>
      <c r="AQ515" s="198"/>
      <c r="AR515" s="198"/>
      <c r="AS515" s="198"/>
      <c r="AT515" s="198"/>
      <c r="AU515" s="198"/>
      <c r="AV515" s="198"/>
      <c r="AW515" s="198"/>
      <c r="AX515" s="198"/>
      <c r="AY515" s="198"/>
      <c r="AZ515" s="198"/>
      <c r="BA515" s="198"/>
      <c r="BB515" s="198"/>
      <c r="BC515" s="198"/>
      <c r="BD515" s="198"/>
      <c r="BE515" s="198"/>
      <c r="BF515" s="198"/>
      <c r="BG515" s="198"/>
      <c r="BH515" s="198"/>
      <c r="BI515" s="198"/>
      <c r="BJ515" s="198"/>
      <c r="BK515" s="198"/>
      <c r="BL515" s="198"/>
      <c r="BM515" s="198"/>
      <c r="BN515" s="198"/>
      <c r="BO515" s="198"/>
      <c r="BP515" s="198"/>
      <c r="BQ515" s="198"/>
      <c r="BR515" s="198"/>
      <c r="BS515" s="198"/>
      <c r="BT515" s="198"/>
      <c r="BU515" s="198"/>
      <c r="BV515" s="198"/>
      <c r="BW515" s="198"/>
      <c r="BX515" s="198"/>
      <c r="BY515" s="198"/>
      <c r="BZ515" s="198"/>
      <c r="CA515" s="198"/>
      <c r="CB515" s="198"/>
      <c r="CC515" s="198"/>
      <c r="CD515" s="198"/>
      <c r="CE515" s="198"/>
      <c r="CF515" s="198"/>
      <c r="CG515" s="198"/>
    </row>
    <row r="516" spans="1:85" s="199" customFormat="1" x14ac:dyDescent="0.25">
      <c r="A516" s="821" t="s">
        <v>342</v>
      </c>
      <c r="B516" s="822"/>
      <c r="C516" s="823"/>
      <c r="D516" s="824"/>
      <c r="E516" s="785"/>
      <c r="F516" s="825"/>
      <c r="G516" s="825"/>
      <c r="H516" s="826"/>
      <c r="I516" s="197"/>
      <c r="J516" s="197"/>
      <c r="K516" s="197"/>
      <c r="L516" s="197"/>
      <c r="M516" s="197"/>
      <c r="N516" s="197"/>
      <c r="O516" s="197"/>
      <c r="P516" s="197"/>
      <c r="Q516" s="197"/>
      <c r="R516" s="197"/>
      <c r="S516" s="197"/>
      <c r="T516" s="198"/>
      <c r="U516" s="198"/>
      <c r="V516" s="198"/>
      <c r="W516" s="198"/>
      <c r="X516" s="198"/>
      <c r="Y516" s="198"/>
      <c r="Z516" s="198"/>
      <c r="AA516" s="198"/>
      <c r="AB516" s="198"/>
      <c r="AC516" s="198"/>
      <c r="AD516" s="198"/>
      <c r="AE516" s="198"/>
      <c r="AF516" s="198"/>
      <c r="AG516" s="198"/>
      <c r="AH516" s="198"/>
      <c r="AI516" s="198"/>
      <c r="AJ516" s="198"/>
      <c r="AK516" s="198"/>
      <c r="AL516" s="198"/>
      <c r="AM516" s="198"/>
      <c r="AN516" s="198"/>
      <c r="AO516" s="198"/>
      <c r="AP516" s="198"/>
      <c r="AQ516" s="198"/>
      <c r="AR516" s="198"/>
      <c r="AS516" s="198"/>
      <c r="AT516" s="198"/>
      <c r="AU516" s="198"/>
      <c r="AV516" s="198"/>
      <c r="AW516" s="198"/>
      <c r="AX516" s="198"/>
      <c r="AY516" s="198"/>
      <c r="AZ516" s="198"/>
      <c r="BA516" s="198"/>
      <c r="BB516" s="198"/>
      <c r="BC516" s="198"/>
      <c r="BD516" s="198"/>
      <c r="BE516" s="198"/>
      <c r="BF516" s="198"/>
      <c r="BG516" s="198"/>
      <c r="BH516" s="198"/>
      <c r="BI516" s="198"/>
      <c r="BJ516" s="198"/>
      <c r="BK516" s="198"/>
      <c r="BL516" s="198"/>
      <c r="BM516" s="198"/>
      <c r="BN516" s="198"/>
      <c r="BO516" s="198"/>
      <c r="BP516" s="198"/>
      <c r="BQ516" s="198"/>
      <c r="BR516" s="198"/>
      <c r="BS516" s="198"/>
      <c r="BT516" s="198"/>
      <c r="BU516" s="198"/>
      <c r="BV516" s="198"/>
      <c r="BW516" s="198"/>
      <c r="BX516" s="198"/>
      <c r="BY516" s="198"/>
      <c r="BZ516" s="198"/>
      <c r="CA516" s="198"/>
      <c r="CB516" s="198"/>
      <c r="CC516" s="198"/>
      <c r="CD516" s="198"/>
      <c r="CE516" s="198"/>
      <c r="CF516" s="198"/>
      <c r="CG516" s="198"/>
    </row>
    <row r="517" spans="1:85" s="199" customFormat="1" x14ac:dyDescent="0.25">
      <c r="A517" s="787" t="s">
        <v>336</v>
      </c>
      <c r="B517" s="260"/>
      <c r="C517" s="291"/>
      <c r="D517" s="292"/>
      <c r="E517" s="185"/>
      <c r="F517" s="293"/>
      <c r="G517" s="293"/>
      <c r="H517" s="789"/>
      <c r="I517" s="197"/>
      <c r="J517" s="197"/>
      <c r="K517" s="197"/>
      <c r="L517" s="197"/>
      <c r="M517" s="197"/>
      <c r="N517" s="197"/>
      <c r="O517" s="197"/>
      <c r="P517" s="197"/>
      <c r="Q517" s="197"/>
      <c r="R517" s="197"/>
      <c r="S517" s="197"/>
      <c r="T517" s="198"/>
      <c r="U517" s="198"/>
      <c r="V517" s="198"/>
      <c r="W517" s="198"/>
      <c r="X517" s="198"/>
      <c r="Y517" s="198"/>
      <c r="Z517" s="198"/>
      <c r="AA517" s="198"/>
      <c r="AB517" s="198"/>
      <c r="AC517" s="198"/>
      <c r="AD517" s="198"/>
      <c r="AE517" s="198"/>
      <c r="AF517" s="198"/>
      <c r="AG517" s="198"/>
      <c r="AH517" s="198"/>
      <c r="AI517" s="198"/>
      <c r="AJ517" s="198"/>
      <c r="AK517" s="198"/>
      <c r="AL517" s="198"/>
      <c r="AM517" s="198"/>
      <c r="AN517" s="198"/>
      <c r="AO517" s="198"/>
      <c r="AP517" s="198"/>
      <c r="AQ517" s="198"/>
      <c r="AR517" s="198"/>
      <c r="AS517" s="198"/>
      <c r="AT517" s="198"/>
      <c r="AU517" s="198"/>
      <c r="AV517" s="198"/>
      <c r="AW517" s="198"/>
      <c r="AX517" s="198"/>
      <c r="AY517" s="198"/>
      <c r="AZ517" s="198"/>
      <c r="BA517" s="198"/>
      <c r="BB517" s="198"/>
      <c r="BC517" s="198"/>
      <c r="BD517" s="198"/>
      <c r="BE517" s="198"/>
      <c r="BF517" s="198"/>
      <c r="BG517" s="198"/>
      <c r="BH517" s="198"/>
      <c r="BI517" s="198"/>
      <c r="BJ517" s="198"/>
      <c r="BK517" s="198"/>
      <c r="BL517" s="198"/>
      <c r="BM517" s="198"/>
      <c r="BN517" s="198"/>
      <c r="BO517" s="198"/>
      <c r="BP517" s="198"/>
      <c r="BQ517" s="198"/>
      <c r="BR517" s="198"/>
      <c r="BS517" s="198"/>
      <c r="BT517" s="198"/>
      <c r="BU517" s="198"/>
      <c r="BV517" s="198"/>
      <c r="BW517" s="198"/>
      <c r="BX517" s="198"/>
      <c r="BY517" s="198"/>
      <c r="BZ517" s="198"/>
      <c r="CA517" s="198"/>
      <c r="CB517" s="198"/>
      <c r="CC517" s="198"/>
      <c r="CD517" s="198"/>
      <c r="CE517" s="198"/>
      <c r="CF517" s="198"/>
      <c r="CG517" s="198"/>
    </row>
    <row r="518" spans="1:85" s="199" customFormat="1" x14ac:dyDescent="0.25">
      <c r="A518" s="787" t="s">
        <v>337</v>
      </c>
      <c r="B518" s="260"/>
      <c r="C518" s="291"/>
      <c r="D518" s="292"/>
      <c r="E518" s="185"/>
      <c r="F518" s="293"/>
      <c r="G518" s="293"/>
      <c r="H518" s="789"/>
      <c r="I518" s="197"/>
      <c r="J518" s="197"/>
      <c r="K518" s="197"/>
      <c r="L518" s="197"/>
      <c r="M518" s="197"/>
      <c r="N518" s="197"/>
      <c r="O518" s="197"/>
      <c r="P518" s="197"/>
      <c r="Q518" s="197"/>
      <c r="R518" s="197"/>
      <c r="S518" s="197"/>
      <c r="T518" s="198"/>
      <c r="U518" s="198"/>
      <c r="V518" s="198"/>
      <c r="W518" s="198"/>
      <c r="X518" s="198"/>
      <c r="Y518" s="198"/>
      <c r="Z518" s="198"/>
      <c r="AA518" s="198"/>
      <c r="AB518" s="198"/>
      <c r="AC518" s="198"/>
      <c r="AD518" s="198"/>
      <c r="AE518" s="198"/>
      <c r="AF518" s="198"/>
      <c r="AG518" s="198"/>
      <c r="AH518" s="198"/>
      <c r="AI518" s="198"/>
      <c r="AJ518" s="198"/>
      <c r="AK518" s="198"/>
      <c r="AL518" s="198"/>
      <c r="AM518" s="198"/>
      <c r="AN518" s="198"/>
      <c r="AO518" s="198"/>
      <c r="AP518" s="198"/>
      <c r="AQ518" s="198"/>
      <c r="AR518" s="198"/>
      <c r="AS518" s="198"/>
      <c r="AT518" s="198"/>
      <c r="AU518" s="198"/>
      <c r="AV518" s="198"/>
      <c r="AW518" s="198"/>
      <c r="AX518" s="198"/>
      <c r="AY518" s="198"/>
      <c r="AZ518" s="198"/>
      <c r="BA518" s="198"/>
      <c r="BB518" s="198"/>
      <c r="BC518" s="198"/>
      <c r="BD518" s="198"/>
      <c r="BE518" s="198"/>
      <c r="BF518" s="198"/>
      <c r="BG518" s="198"/>
      <c r="BH518" s="198"/>
      <c r="BI518" s="198"/>
      <c r="BJ518" s="198"/>
      <c r="BK518" s="198"/>
      <c r="BL518" s="198"/>
      <c r="BM518" s="198"/>
      <c r="BN518" s="198"/>
      <c r="BO518" s="198"/>
      <c r="BP518" s="198"/>
      <c r="BQ518" s="198"/>
      <c r="BR518" s="198"/>
      <c r="BS518" s="198"/>
      <c r="BT518" s="198"/>
      <c r="BU518" s="198"/>
      <c r="BV518" s="198"/>
      <c r="BW518" s="198"/>
      <c r="BX518" s="198"/>
      <c r="BY518" s="198"/>
      <c r="BZ518" s="198"/>
      <c r="CA518" s="198"/>
      <c r="CB518" s="198"/>
      <c r="CC518" s="198"/>
      <c r="CD518" s="198"/>
      <c r="CE518" s="198"/>
      <c r="CF518" s="198"/>
      <c r="CG518" s="198"/>
    </row>
    <row r="519" spans="1:85" s="199" customFormat="1" x14ac:dyDescent="0.25">
      <c r="A519" s="787" t="s">
        <v>339</v>
      </c>
      <c r="B519" s="260"/>
      <c r="C519" s="291"/>
      <c r="D519" s="292"/>
      <c r="E519" s="185"/>
      <c r="F519" s="293"/>
      <c r="G519" s="293"/>
      <c r="H519" s="789"/>
      <c r="I519" s="197"/>
      <c r="J519" s="197"/>
      <c r="K519" s="197"/>
      <c r="L519" s="197"/>
      <c r="M519" s="197"/>
      <c r="N519" s="197"/>
      <c r="O519" s="197"/>
      <c r="P519" s="197"/>
      <c r="Q519" s="197"/>
      <c r="R519" s="197"/>
      <c r="S519" s="197"/>
      <c r="T519" s="198"/>
      <c r="U519" s="198"/>
      <c r="V519" s="198"/>
      <c r="W519" s="198"/>
      <c r="X519" s="198"/>
      <c r="Y519" s="198"/>
      <c r="Z519" s="198"/>
      <c r="AA519" s="198"/>
      <c r="AB519" s="198"/>
      <c r="AC519" s="198"/>
      <c r="AD519" s="198"/>
      <c r="AE519" s="198"/>
      <c r="AF519" s="198"/>
      <c r="AG519" s="198"/>
      <c r="AH519" s="198"/>
      <c r="AI519" s="198"/>
      <c r="AJ519" s="198"/>
      <c r="AK519" s="198"/>
      <c r="AL519" s="198"/>
      <c r="AM519" s="198"/>
      <c r="AN519" s="198"/>
      <c r="AO519" s="198"/>
      <c r="AP519" s="198"/>
      <c r="AQ519" s="198"/>
      <c r="AR519" s="198"/>
      <c r="AS519" s="198"/>
      <c r="AT519" s="198"/>
      <c r="AU519" s="198"/>
      <c r="AV519" s="198"/>
      <c r="AW519" s="198"/>
      <c r="AX519" s="198"/>
      <c r="AY519" s="198"/>
      <c r="AZ519" s="198"/>
      <c r="BA519" s="198"/>
      <c r="BB519" s="198"/>
      <c r="BC519" s="198"/>
      <c r="BD519" s="198"/>
      <c r="BE519" s="198"/>
      <c r="BF519" s="198"/>
      <c r="BG519" s="198"/>
      <c r="BH519" s="198"/>
      <c r="BI519" s="198"/>
      <c r="BJ519" s="198"/>
      <c r="BK519" s="198"/>
      <c r="BL519" s="198"/>
      <c r="BM519" s="198"/>
      <c r="BN519" s="198"/>
      <c r="BO519" s="198"/>
      <c r="BP519" s="198"/>
      <c r="BQ519" s="198"/>
      <c r="BR519" s="198"/>
      <c r="BS519" s="198"/>
      <c r="BT519" s="198"/>
      <c r="BU519" s="198"/>
      <c r="BV519" s="198"/>
      <c r="BW519" s="198"/>
      <c r="BX519" s="198"/>
      <c r="BY519" s="198"/>
      <c r="BZ519" s="198"/>
      <c r="CA519" s="198"/>
      <c r="CB519" s="198"/>
      <c r="CC519" s="198"/>
      <c r="CD519" s="198"/>
      <c r="CE519" s="198"/>
      <c r="CF519" s="198"/>
      <c r="CG519" s="198"/>
    </row>
    <row r="520" spans="1:85" s="199" customFormat="1" x14ac:dyDescent="0.25">
      <c r="A520" s="800"/>
      <c r="B520" s="301"/>
      <c r="C520" s="801"/>
      <c r="D520" s="802"/>
      <c r="E520" s="302"/>
      <c r="F520" s="803"/>
      <c r="G520" s="803"/>
      <c r="H520" s="804"/>
      <c r="I520" s="197"/>
      <c r="J520" s="197"/>
      <c r="K520" s="197"/>
      <c r="L520" s="197"/>
      <c r="M520" s="197"/>
      <c r="N520" s="197"/>
      <c r="O520" s="197"/>
      <c r="P520" s="197"/>
      <c r="Q520" s="197"/>
      <c r="R520" s="197"/>
      <c r="S520" s="197"/>
      <c r="T520" s="198"/>
      <c r="U520" s="198"/>
      <c r="V520" s="198"/>
      <c r="W520" s="198"/>
      <c r="X520" s="198"/>
      <c r="Y520" s="198"/>
      <c r="Z520" s="198"/>
      <c r="AA520" s="198"/>
      <c r="AB520" s="198"/>
      <c r="AC520" s="198"/>
      <c r="AD520" s="198"/>
      <c r="AE520" s="198"/>
      <c r="AF520" s="198"/>
      <c r="AG520" s="198"/>
      <c r="AH520" s="198"/>
      <c r="AI520" s="198"/>
      <c r="AJ520" s="198"/>
      <c r="AK520" s="198"/>
      <c r="AL520" s="198"/>
      <c r="AM520" s="198"/>
      <c r="AN520" s="198"/>
      <c r="AO520" s="198"/>
      <c r="AP520" s="198"/>
      <c r="AQ520" s="198"/>
      <c r="AR520" s="198"/>
      <c r="AS520" s="198"/>
      <c r="AT520" s="198"/>
      <c r="AU520" s="198"/>
      <c r="AV520" s="198"/>
      <c r="AW520" s="198"/>
      <c r="AX520" s="198"/>
      <c r="AY520" s="198"/>
      <c r="AZ520" s="198"/>
      <c r="BA520" s="198"/>
      <c r="BB520" s="198"/>
      <c r="BC520" s="198"/>
      <c r="BD520" s="198"/>
      <c r="BE520" s="198"/>
      <c r="BF520" s="198"/>
      <c r="BG520" s="198"/>
      <c r="BH520" s="198"/>
      <c r="BI520" s="198"/>
      <c r="BJ520" s="198"/>
      <c r="BK520" s="198"/>
      <c r="BL520" s="198"/>
      <c r="BM520" s="198"/>
      <c r="BN520" s="198"/>
      <c r="BO520" s="198"/>
      <c r="BP520" s="198"/>
      <c r="BQ520" s="198"/>
      <c r="BR520" s="198"/>
      <c r="BS520" s="198"/>
      <c r="BT520" s="198"/>
      <c r="BU520" s="198"/>
      <c r="BV520" s="198"/>
      <c r="BW520" s="198"/>
      <c r="BX520" s="198"/>
      <c r="BY520" s="198"/>
      <c r="BZ520" s="198"/>
      <c r="CA520" s="198"/>
      <c r="CB520" s="198"/>
      <c r="CC520" s="198"/>
      <c r="CD520" s="198"/>
      <c r="CE520" s="198"/>
      <c r="CF520" s="198"/>
      <c r="CG520" s="198"/>
    </row>
    <row r="521" spans="1:85" s="199" customFormat="1" ht="15.6" x14ac:dyDescent="0.25">
      <c r="A521" s="827" t="s">
        <v>344</v>
      </c>
      <c r="B521" s="832"/>
      <c r="C521" s="816"/>
      <c r="D521" s="817"/>
      <c r="E521" s="818"/>
      <c r="F521" s="819"/>
      <c r="G521" s="819"/>
      <c r="H521" s="820"/>
      <c r="I521" s="197"/>
      <c r="J521" s="197"/>
      <c r="K521" s="197"/>
      <c r="L521" s="197"/>
      <c r="M521" s="197"/>
      <c r="N521" s="197"/>
      <c r="O521" s="197"/>
      <c r="P521" s="197"/>
      <c r="Q521" s="197"/>
      <c r="R521" s="197"/>
      <c r="S521" s="197"/>
      <c r="T521" s="198"/>
      <c r="U521" s="198"/>
      <c r="V521" s="198"/>
      <c r="W521" s="198"/>
      <c r="X521" s="198"/>
      <c r="Y521" s="198"/>
      <c r="Z521" s="198"/>
      <c r="AA521" s="198"/>
      <c r="AB521" s="198"/>
      <c r="AC521" s="198"/>
      <c r="AD521" s="198"/>
      <c r="AE521" s="198"/>
      <c r="AF521" s="198"/>
      <c r="AG521" s="198"/>
      <c r="AH521" s="198"/>
      <c r="AI521" s="198"/>
      <c r="AJ521" s="198"/>
      <c r="AK521" s="198"/>
      <c r="AL521" s="198"/>
      <c r="AM521" s="198"/>
      <c r="AN521" s="198"/>
      <c r="AO521" s="198"/>
      <c r="AP521" s="198"/>
      <c r="AQ521" s="198"/>
      <c r="AR521" s="198"/>
      <c r="AS521" s="198"/>
      <c r="AT521" s="198"/>
      <c r="AU521" s="198"/>
      <c r="AV521" s="198"/>
      <c r="AW521" s="198"/>
      <c r="AX521" s="198"/>
      <c r="AY521" s="198"/>
      <c r="AZ521" s="198"/>
      <c r="BA521" s="198"/>
      <c r="BB521" s="198"/>
      <c r="BC521" s="198"/>
      <c r="BD521" s="198"/>
      <c r="BE521" s="198"/>
      <c r="BF521" s="198"/>
      <c r="BG521" s="198"/>
      <c r="BH521" s="198"/>
      <c r="BI521" s="198"/>
      <c r="BJ521" s="198"/>
      <c r="BK521" s="198"/>
      <c r="BL521" s="198"/>
      <c r="BM521" s="198"/>
      <c r="BN521" s="198"/>
      <c r="BO521" s="198"/>
      <c r="BP521" s="198"/>
      <c r="BQ521" s="198"/>
      <c r="BR521" s="198"/>
      <c r="BS521" s="198"/>
      <c r="BT521" s="198"/>
      <c r="BU521" s="198"/>
      <c r="BV521" s="198"/>
      <c r="BW521" s="198"/>
      <c r="BX521" s="198"/>
      <c r="BY521" s="198"/>
      <c r="BZ521" s="198"/>
      <c r="CA521" s="198"/>
      <c r="CB521" s="198"/>
      <c r="CC521" s="198"/>
      <c r="CD521" s="198"/>
      <c r="CE521" s="198"/>
      <c r="CF521" s="198"/>
      <c r="CG521" s="198"/>
    </row>
    <row r="522" spans="1:85" s="199" customFormat="1" x14ac:dyDescent="0.25">
      <c r="A522" s="831"/>
      <c r="B522" s="833" t="s">
        <v>343</v>
      </c>
      <c r="C522" s="801"/>
      <c r="D522" s="802"/>
      <c r="E522" s="302"/>
      <c r="F522" s="803"/>
      <c r="G522" s="803"/>
      <c r="H522" s="804"/>
      <c r="I522" s="197"/>
      <c r="J522" s="197"/>
      <c r="K522" s="197"/>
      <c r="L522" s="197"/>
      <c r="M522" s="197"/>
      <c r="N522" s="197"/>
      <c r="O522" s="197"/>
      <c r="P522" s="197"/>
      <c r="Q522" s="197"/>
      <c r="R522" s="197"/>
      <c r="S522" s="197"/>
      <c r="T522" s="198"/>
      <c r="U522" s="198"/>
      <c r="V522" s="198"/>
      <c r="W522" s="198"/>
      <c r="X522" s="198"/>
      <c r="Y522" s="198"/>
      <c r="Z522" s="198"/>
      <c r="AA522" s="198"/>
      <c r="AB522" s="198"/>
      <c r="AC522" s="198"/>
      <c r="AD522" s="198"/>
      <c r="AE522" s="198"/>
      <c r="AF522" s="198"/>
      <c r="AG522" s="198"/>
      <c r="AH522" s="198"/>
      <c r="AI522" s="198"/>
      <c r="AJ522" s="198"/>
      <c r="AK522" s="198"/>
      <c r="AL522" s="198"/>
      <c r="AM522" s="198"/>
      <c r="AN522" s="198"/>
      <c r="AO522" s="198"/>
      <c r="AP522" s="198"/>
      <c r="AQ522" s="198"/>
      <c r="AR522" s="198"/>
      <c r="AS522" s="198"/>
      <c r="AT522" s="198"/>
      <c r="AU522" s="198"/>
      <c r="AV522" s="198"/>
      <c r="AW522" s="198"/>
      <c r="AX522" s="198"/>
      <c r="AY522" s="198"/>
      <c r="AZ522" s="198"/>
      <c r="BA522" s="198"/>
      <c r="BB522" s="198"/>
      <c r="BC522" s="198"/>
      <c r="BD522" s="198"/>
      <c r="BE522" s="198"/>
      <c r="BF522" s="198"/>
      <c r="BG522" s="198"/>
      <c r="BH522" s="198"/>
      <c r="BI522" s="198"/>
      <c r="BJ522" s="198"/>
      <c r="BK522" s="198"/>
      <c r="BL522" s="198"/>
      <c r="BM522" s="198"/>
      <c r="BN522" s="198"/>
      <c r="BO522" s="198"/>
      <c r="BP522" s="198"/>
      <c r="BQ522" s="198"/>
      <c r="BR522" s="198"/>
      <c r="BS522" s="198"/>
      <c r="BT522" s="198"/>
      <c r="BU522" s="198"/>
      <c r="BV522" s="198"/>
      <c r="BW522" s="198"/>
      <c r="BX522" s="198"/>
      <c r="BY522" s="198"/>
      <c r="BZ522" s="198"/>
      <c r="CA522" s="198"/>
      <c r="CB522" s="198"/>
      <c r="CC522" s="198"/>
      <c r="CD522" s="198"/>
      <c r="CE522" s="198"/>
      <c r="CF522" s="198"/>
      <c r="CG522" s="198"/>
    </row>
    <row r="523" spans="1:85" s="199" customFormat="1" ht="30" x14ac:dyDescent="0.25">
      <c r="A523" s="831"/>
      <c r="B523" s="834" t="s">
        <v>338</v>
      </c>
      <c r="C523" s="801"/>
      <c r="D523" s="802"/>
      <c r="E523" s="302"/>
      <c r="F523" s="803"/>
      <c r="G523" s="803"/>
      <c r="H523" s="804"/>
      <c r="I523" s="197"/>
      <c r="J523" s="197"/>
      <c r="K523" s="197"/>
      <c r="L523" s="197"/>
      <c r="M523" s="197"/>
      <c r="N523" s="197"/>
      <c r="O523" s="197"/>
      <c r="P523" s="197"/>
      <c r="Q523" s="197"/>
      <c r="R523" s="197"/>
      <c r="S523" s="197"/>
      <c r="T523" s="198"/>
      <c r="U523" s="198"/>
      <c r="V523" s="198"/>
      <c r="W523" s="198"/>
      <c r="X523" s="198"/>
      <c r="Y523" s="198"/>
      <c r="Z523" s="198"/>
      <c r="AA523" s="198"/>
      <c r="AB523" s="198"/>
      <c r="AC523" s="198"/>
      <c r="AD523" s="198"/>
      <c r="AE523" s="198"/>
      <c r="AF523" s="198"/>
      <c r="AG523" s="198"/>
      <c r="AH523" s="198"/>
      <c r="AI523" s="198"/>
      <c r="AJ523" s="198"/>
      <c r="AK523" s="198"/>
      <c r="AL523" s="198"/>
      <c r="AM523" s="198"/>
      <c r="AN523" s="198"/>
      <c r="AO523" s="198"/>
      <c r="AP523" s="198"/>
      <c r="AQ523" s="198"/>
      <c r="AR523" s="198"/>
      <c r="AS523" s="198"/>
      <c r="AT523" s="198"/>
      <c r="AU523" s="198"/>
      <c r="AV523" s="198"/>
      <c r="AW523" s="198"/>
      <c r="AX523" s="198"/>
      <c r="AY523" s="198"/>
      <c r="AZ523" s="198"/>
      <c r="BA523" s="198"/>
      <c r="BB523" s="198"/>
      <c r="BC523" s="198"/>
      <c r="BD523" s="198"/>
      <c r="BE523" s="198"/>
      <c r="BF523" s="198"/>
      <c r="BG523" s="198"/>
      <c r="BH523" s="198"/>
      <c r="BI523" s="198"/>
      <c r="BJ523" s="198"/>
      <c r="BK523" s="198"/>
      <c r="BL523" s="198"/>
      <c r="BM523" s="198"/>
      <c r="BN523" s="198"/>
      <c r="BO523" s="198"/>
      <c r="BP523" s="198"/>
      <c r="BQ523" s="198"/>
      <c r="BR523" s="198"/>
      <c r="BS523" s="198"/>
      <c r="BT523" s="198"/>
      <c r="BU523" s="198"/>
      <c r="BV523" s="198"/>
      <c r="BW523" s="198"/>
      <c r="BX523" s="198"/>
      <c r="BY523" s="198"/>
      <c r="BZ523" s="198"/>
      <c r="CA523" s="198"/>
      <c r="CB523" s="198"/>
      <c r="CC523" s="198"/>
      <c r="CD523" s="198"/>
      <c r="CE523" s="198"/>
      <c r="CF523" s="198"/>
      <c r="CG523" s="198"/>
    </row>
    <row r="524" spans="1:85" s="199" customFormat="1" ht="15.6" thickBot="1" x14ac:dyDescent="0.3">
      <c r="A524" s="800"/>
      <c r="B524" s="833"/>
      <c r="C524" s="801"/>
      <c r="D524" s="802"/>
      <c r="E524" s="302"/>
      <c r="F524" s="803"/>
      <c r="G524" s="803"/>
      <c r="H524" s="804"/>
      <c r="I524" s="197"/>
      <c r="J524" s="197"/>
      <c r="K524" s="197"/>
      <c r="L524" s="197"/>
      <c r="M524" s="197"/>
      <c r="N524" s="197"/>
      <c r="O524" s="197"/>
      <c r="P524" s="197"/>
      <c r="Q524" s="197"/>
      <c r="R524" s="197"/>
      <c r="S524" s="197"/>
      <c r="T524" s="198"/>
      <c r="U524" s="198"/>
      <c r="V524" s="198"/>
      <c r="W524" s="198"/>
      <c r="X524" s="198"/>
      <c r="Y524" s="198"/>
      <c r="Z524" s="198"/>
      <c r="AA524" s="198"/>
      <c r="AB524" s="198"/>
      <c r="AC524" s="198"/>
      <c r="AD524" s="198"/>
      <c r="AE524" s="198"/>
      <c r="AF524" s="198"/>
      <c r="AG524" s="198"/>
      <c r="AH524" s="198"/>
      <c r="AI524" s="198"/>
      <c r="AJ524" s="198"/>
      <c r="AK524" s="198"/>
      <c r="AL524" s="198"/>
      <c r="AM524" s="198"/>
      <c r="AN524" s="198"/>
      <c r="AO524" s="198"/>
      <c r="AP524" s="198"/>
      <c r="AQ524" s="198"/>
      <c r="AR524" s="198"/>
      <c r="AS524" s="198"/>
      <c r="AT524" s="198"/>
      <c r="AU524" s="198"/>
      <c r="AV524" s="198"/>
      <c r="AW524" s="198"/>
      <c r="AX524" s="198"/>
      <c r="AY524" s="198"/>
      <c r="AZ524" s="198"/>
      <c r="BA524" s="198"/>
      <c r="BB524" s="198"/>
      <c r="BC524" s="198"/>
      <c r="BD524" s="198"/>
      <c r="BE524" s="198"/>
      <c r="BF524" s="198"/>
      <c r="BG524" s="198"/>
      <c r="BH524" s="198"/>
      <c r="BI524" s="198"/>
      <c r="BJ524" s="198"/>
      <c r="BK524" s="198"/>
      <c r="BL524" s="198"/>
      <c r="BM524" s="198"/>
      <c r="BN524" s="198"/>
      <c r="BO524" s="198"/>
      <c r="BP524" s="198"/>
      <c r="BQ524" s="198"/>
      <c r="BR524" s="198"/>
      <c r="BS524" s="198"/>
      <c r="BT524" s="198"/>
      <c r="BU524" s="198"/>
      <c r="BV524" s="198"/>
      <c r="BW524" s="198"/>
      <c r="BX524" s="198"/>
      <c r="BY524" s="198"/>
      <c r="BZ524" s="198"/>
      <c r="CA524" s="198"/>
      <c r="CB524" s="198"/>
      <c r="CC524" s="198"/>
      <c r="CD524" s="198"/>
      <c r="CE524" s="198"/>
      <c r="CF524" s="198"/>
      <c r="CG524" s="198"/>
    </row>
    <row r="525" spans="1:85" s="795" customFormat="1" ht="16.2" thickTop="1" x14ac:dyDescent="0.3">
      <c r="A525" s="247" t="s">
        <v>322</v>
      </c>
      <c r="B525" s="881"/>
      <c r="C525" s="882"/>
      <c r="D525" s="883"/>
      <c r="E525" s="884"/>
      <c r="F525" s="884"/>
      <c r="G525" s="884"/>
      <c r="H525" s="884"/>
      <c r="I525" s="793"/>
      <c r="J525" s="793"/>
      <c r="K525" s="793"/>
      <c r="L525" s="793"/>
      <c r="M525" s="793"/>
      <c r="N525" s="793"/>
      <c r="O525" s="793"/>
      <c r="P525" s="793"/>
      <c r="Q525" s="793"/>
      <c r="R525" s="793"/>
      <c r="S525" s="793"/>
      <c r="T525" s="794"/>
      <c r="U525" s="794"/>
      <c r="V525" s="794"/>
      <c r="W525" s="794"/>
      <c r="X525" s="794"/>
      <c r="Y525" s="794"/>
      <c r="Z525" s="794"/>
      <c r="AA525" s="794"/>
      <c r="AB525" s="794"/>
      <c r="AC525" s="794"/>
      <c r="AD525" s="794"/>
      <c r="AE525" s="794"/>
      <c r="AF525" s="794"/>
      <c r="AG525" s="794"/>
      <c r="AH525" s="794"/>
      <c r="AI525" s="794"/>
      <c r="AJ525" s="794"/>
      <c r="AK525" s="794"/>
      <c r="AL525" s="794"/>
      <c r="AM525" s="794"/>
      <c r="AN525" s="794"/>
      <c r="AO525" s="794"/>
      <c r="AP525" s="794"/>
      <c r="AQ525" s="794"/>
      <c r="AR525" s="794"/>
      <c r="AS525" s="794"/>
      <c r="AT525" s="794"/>
      <c r="AU525" s="794"/>
      <c r="AV525" s="794"/>
      <c r="AW525" s="794"/>
      <c r="AX525" s="794"/>
      <c r="AY525" s="794"/>
      <c r="AZ525" s="794"/>
      <c r="BA525" s="794"/>
      <c r="BB525" s="794"/>
      <c r="BC525" s="794"/>
      <c r="BD525" s="794"/>
      <c r="BE525" s="794"/>
      <c r="BF525" s="794"/>
      <c r="BG525" s="794"/>
      <c r="BH525" s="794"/>
      <c r="BI525" s="794"/>
      <c r="BJ525" s="794"/>
      <c r="BK525" s="794"/>
      <c r="BL525" s="794"/>
      <c r="BM525" s="794"/>
      <c r="BN525" s="794"/>
      <c r="BO525" s="794"/>
      <c r="BP525" s="794"/>
      <c r="BQ525" s="794"/>
      <c r="BR525" s="794"/>
      <c r="BS525" s="794"/>
      <c r="BT525" s="794"/>
      <c r="BU525" s="794"/>
      <c r="BV525" s="794"/>
      <c r="BW525" s="794"/>
      <c r="BX525" s="794"/>
      <c r="BY525" s="794"/>
      <c r="BZ525" s="794"/>
      <c r="CA525" s="794"/>
      <c r="CB525" s="794"/>
      <c r="CC525" s="794"/>
      <c r="CD525" s="794"/>
      <c r="CE525" s="794"/>
      <c r="CF525" s="794"/>
      <c r="CG525" s="794"/>
    </row>
    <row r="526" spans="1:85" s="199" customFormat="1" ht="15.6" thickBot="1" x14ac:dyDescent="0.3">
      <c r="A526" s="885"/>
      <c r="B526" s="248"/>
      <c r="C526" s="249"/>
      <c r="D526" s="886"/>
      <c r="E526" s="250"/>
      <c r="F526" s="250"/>
      <c r="G526" s="250"/>
      <c r="H526" s="250"/>
      <c r="I526" s="197"/>
      <c r="J526" s="197"/>
      <c r="K526" s="197"/>
      <c r="L526" s="197"/>
      <c r="M526" s="197"/>
      <c r="N526" s="197"/>
      <c r="O526" s="197"/>
      <c r="P526" s="197"/>
      <c r="Q526" s="197"/>
      <c r="R526" s="197"/>
      <c r="S526" s="197"/>
      <c r="T526" s="198"/>
      <c r="U526" s="198"/>
      <c r="V526" s="198"/>
      <c r="W526" s="198"/>
      <c r="X526" s="198"/>
      <c r="Y526" s="198"/>
      <c r="Z526" s="198"/>
      <c r="AA526" s="198"/>
      <c r="AB526" s="198"/>
      <c r="AC526" s="198"/>
      <c r="AD526" s="198"/>
      <c r="AE526" s="198"/>
      <c r="AF526" s="198"/>
      <c r="AG526" s="198"/>
      <c r="AH526" s="198"/>
      <c r="AI526" s="198"/>
      <c r="AJ526" s="198"/>
      <c r="AK526" s="198"/>
      <c r="AL526" s="198"/>
      <c r="AM526" s="198"/>
      <c r="AN526" s="198"/>
      <c r="AO526" s="198"/>
      <c r="AP526" s="198"/>
      <c r="AQ526" s="198"/>
      <c r="AR526" s="198"/>
      <c r="AS526" s="198"/>
      <c r="AT526" s="198"/>
      <c r="AU526" s="198"/>
      <c r="AV526" s="198"/>
      <c r="AW526" s="198"/>
      <c r="AX526" s="198"/>
      <c r="AY526" s="198"/>
      <c r="AZ526" s="198"/>
      <c r="BA526" s="198"/>
      <c r="BB526" s="198"/>
      <c r="BC526" s="198"/>
      <c r="BD526" s="198"/>
      <c r="BE526" s="198"/>
      <c r="BF526" s="198"/>
      <c r="BG526" s="198"/>
      <c r="BH526" s="198"/>
      <c r="BI526" s="198"/>
      <c r="BJ526" s="198"/>
      <c r="BK526" s="198"/>
      <c r="BL526" s="198"/>
      <c r="BM526" s="198"/>
      <c r="BN526" s="198"/>
      <c r="BO526" s="198"/>
      <c r="BP526" s="198"/>
      <c r="BQ526" s="198"/>
      <c r="BR526" s="198"/>
      <c r="BS526" s="198"/>
      <c r="BT526" s="198"/>
      <c r="BU526" s="198"/>
      <c r="BV526" s="198"/>
      <c r="BW526" s="198"/>
      <c r="BX526" s="198"/>
      <c r="BY526" s="198"/>
      <c r="BZ526" s="198"/>
      <c r="CA526" s="198"/>
      <c r="CB526" s="198"/>
      <c r="CC526" s="198"/>
      <c r="CD526" s="198"/>
      <c r="CE526" s="198"/>
      <c r="CF526" s="198"/>
      <c r="CG526" s="198"/>
    </row>
    <row r="527" spans="1:85" s="199" customFormat="1" ht="15.6" thickTop="1" x14ac:dyDescent="0.25">
      <c r="A527" s="773" t="s">
        <v>11</v>
      </c>
      <c r="B527" s="619"/>
      <c r="C527" s="879"/>
      <c r="D527" s="880"/>
      <c r="E527" s="289"/>
      <c r="F527" s="289"/>
      <c r="G527" s="289"/>
      <c r="H527" s="289"/>
      <c r="I527" s="197"/>
      <c r="J527" s="197"/>
      <c r="K527" s="197"/>
      <c r="L527" s="197"/>
      <c r="M527" s="197"/>
      <c r="N527" s="197"/>
      <c r="O527" s="197"/>
      <c r="P527" s="197"/>
      <c r="Q527" s="197"/>
      <c r="R527" s="197"/>
      <c r="S527" s="198"/>
      <c r="T527" s="198"/>
      <c r="U527" s="198"/>
      <c r="V527" s="198"/>
      <c r="W527" s="198"/>
      <c r="X527" s="198"/>
      <c r="Y527" s="198"/>
      <c r="Z527" s="198"/>
      <c r="AA527" s="198"/>
      <c r="AB527" s="198"/>
      <c r="AC527" s="198"/>
      <c r="AD527" s="198"/>
      <c r="AE527" s="198"/>
      <c r="AF527" s="198"/>
      <c r="AG527" s="198"/>
      <c r="AH527" s="198"/>
      <c r="AI527" s="198"/>
      <c r="AJ527" s="198"/>
      <c r="AK527" s="198"/>
      <c r="AL527" s="198"/>
      <c r="AM527" s="198"/>
      <c r="AN527" s="198"/>
      <c r="AO527" s="198"/>
      <c r="AP527" s="198"/>
      <c r="AQ527" s="198"/>
      <c r="AR527" s="198"/>
      <c r="AS527" s="198"/>
      <c r="AT527" s="198"/>
      <c r="AU527" s="198"/>
      <c r="AV527" s="198"/>
      <c r="AW527" s="198"/>
      <c r="AX527" s="198"/>
      <c r="AY527" s="198"/>
      <c r="AZ527" s="198"/>
      <c r="BA527" s="198"/>
      <c r="BB527" s="198"/>
      <c r="BC527" s="198"/>
      <c r="BD527" s="198"/>
      <c r="BE527" s="198"/>
      <c r="BF527" s="198"/>
      <c r="BG527" s="198"/>
      <c r="BH527" s="198"/>
      <c r="BI527" s="198"/>
      <c r="BJ527" s="198"/>
      <c r="BK527" s="198"/>
      <c r="BL527" s="198"/>
      <c r="BM527" s="198"/>
      <c r="BN527" s="198"/>
      <c r="BO527" s="198"/>
      <c r="BP527" s="198"/>
      <c r="BQ527" s="198"/>
      <c r="BR527" s="198"/>
      <c r="BS527" s="198"/>
      <c r="BT527" s="198"/>
      <c r="BU527" s="198"/>
      <c r="BV527" s="198"/>
      <c r="BW527" s="198"/>
      <c r="BX527" s="198"/>
      <c r="BY527" s="198"/>
      <c r="BZ527" s="198"/>
      <c r="CA527" s="198"/>
      <c r="CB527" s="198"/>
      <c r="CC527" s="198"/>
      <c r="CD527" s="198"/>
      <c r="CE527" s="198"/>
      <c r="CF527" s="198"/>
    </row>
    <row r="528" spans="1:85" s="199" customFormat="1" x14ac:dyDescent="0.25">
      <c r="A528" s="172"/>
      <c r="B528" s="173" t="s">
        <v>12</v>
      </c>
      <c r="C528" s="796"/>
      <c r="D528" s="797"/>
      <c r="E528" s="798"/>
      <c r="F528" s="798"/>
      <c r="G528" s="798"/>
      <c r="H528" s="798"/>
      <c r="I528" s="799"/>
      <c r="J528" s="197"/>
      <c r="K528" s="197"/>
      <c r="L528" s="197"/>
      <c r="M528" s="197"/>
      <c r="N528" s="197"/>
      <c r="O528" s="197"/>
      <c r="P528" s="197"/>
      <c r="Q528" s="197"/>
      <c r="R528" s="197"/>
      <c r="S528" s="198"/>
      <c r="T528" s="198"/>
      <c r="U528" s="198"/>
      <c r="V528" s="198"/>
      <c r="W528" s="198"/>
      <c r="X528" s="198"/>
      <c r="Y528" s="198"/>
      <c r="Z528" s="198"/>
      <c r="AA528" s="198"/>
      <c r="AB528" s="198"/>
      <c r="AC528" s="198"/>
      <c r="AD528" s="198"/>
      <c r="AE528" s="198"/>
      <c r="AF528" s="198"/>
      <c r="AG528" s="198"/>
      <c r="AH528" s="198"/>
      <c r="AI528" s="198"/>
      <c r="AJ528" s="198"/>
      <c r="AK528" s="198"/>
      <c r="AL528" s="198"/>
      <c r="AM528" s="198"/>
      <c r="AN528" s="198"/>
      <c r="AO528" s="198"/>
      <c r="AP528" s="198"/>
      <c r="AQ528" s="198"/>
      <c r="AR528" s="198"/>
      <c r="AS528" s="198"/>
      <c r="AT528" s="198"/>
      <c r="AU528" s="198"/>
      <c r="AV528" s="198"/>
      <c r="AW528" s="198"/>
      <c r="AX528" s="198"/>
      <c r="AY528" s="198"/>
      <c r="AZ528" s="198"/>
      <c r="BA528" s="198"/>
      <c r="BB528" s="198"/>
      <c r="BC528" s="198"/>
      <c r="BD528" s="198"/>
      <c r="BE528" s="198"/>
      <c r="BF528" s="198"/>
      <c r="BG528" s="198"/>
      <c r="BH528" s="198"/>
      <c r="BI528" s="198"/>
      <c r="BJ528" s="198"/>
      <c r="BK528" s="198"/>
      <c r="BL528" s="198"/>
      <c r="BM528" s="198"/>
      <c r="BN528" s="198"/>
      <c r="BO528" s="198"/>
      <c r="BP528" s="198"/>
      <c r="BQ528" s="198"/>
      <c r="BR528" s="198"/>
      <c r="BS528" s="198"/>
      <c r="BT528" s="198"/>
      <c r="BU528" s="198"/>
      <c r="BV528" s="198"/>
      <c r="BW528" s="198"/>
      <c r="BX528" s="198"/>
      <c r="BY528" s="198"/>
      <c r="BZ528" s="198"/>
      <c r="CA528" s="198"/>
      <c r="CB528" s="198"/>
      <c r="CC528" s="198"/>
      <c r="CD528" s="198"/>
      <c r="CE528" s="198"/>
      <c r="CF528" s="198"/>
    </row>
    <row r="529" spans="1:85" s="199" customFormat="1" x14ac:dyDescent="0.25">
      <c r="A529" s="295" t="s">
        <v>145</v>
      </c>
      <c r="B529" s="296"/>
      <c r="C529" s="297"/>
      <c r="D529" s="298"/>
      <c r="E529" s="299"/>
      <c r="F529" s="299"/>
      <c r="G529" s="299"/>
      <c r="H529" s="299"/>
      <c r="I529" s="197"/>
      <c r="J529" s="197"/>
      <c r="K529" s="197"/>
      <c r="L529" s="197"/>
      <c r="M529" s="197"/>
      <c r="N529" s="197"/>
      <c r="O529" s="197"/>
      <c r="P529" s="197"/>
      <c r="Q529" s="197"/>
      <c r="R529" s="197"/>
      <c r="S529" s="198"/>
      <c r="T529" s="198"/>
      <c r="U529" s="198"/>
      <c r="V529" s="198"/>
      <c r="W529" s="198"/>
      <c r="X529" s="198"/>
      <c r="Y529" s="198"/>
      <c r="Z529" s="198"/>
      <c r="AA529" s="198"/>
      <c r="AB529" s="198"/>
      <c r="AC529" s="198"/>
      <c r="AD529" s="198"/>
      <c r="AE529" s="198"/>
      <c r="AF529" s="198"/>
      <c r="AG529" s="198"/>
      <c r="AH529" s="198"/>
      <c r="AI529" s="198"/>
      <c r="AJ529" s="198"/>
      <c r="AK529" s="198"/>
      <c r="AL529" s="198"/>
      <c r="AM529" s="198"/>
      <c r="AN529" s="198"/>
      <c r="AO529" s="198"/>
      <c r="AP529" s="198"/>
      <c r="AQ529" s="198"/>
      <c r="AR529" s="198"/>
      <c r="AS529" s="198"/>
      <c r="AT529" s="198"/>
      <c r="AU529" s="198"/>
      <c r="AV529" s="198"/>
      <c r="AW529" s="198"/>
      <c r="AX529" s="198"/>
      <c r="AY529" s="198"/>
      <c r="AZ529" s="198"/>
      <c r="BA529" s="198"/>
      <c r="BB529" s="198"/>
      <c r="BC529" s="198"/>
      <c r="BD529" s="198"/>
      <c r="BE529" s="198"/>
      <c r="BF529" s="198"/>
      <c r="BG529" s="198"/>
      <c r="BH529" s="198"/>
      <c r="BI529" s="198"/>
      <c r="BJ529" s="198"/>
      <c r="BK529" s="198"/>
      <c r="BL529" s="198"/>
      <c r="BM529" s="198"/>
      <c r="BN529" s="198"/>
      <c r="BO529" s="198"/>
      <c r="BP529" s="198"/>
      <c r="BQ529" s="198"/>
      <c r="BR529" s="198"/>
      <c r="BS529" s="198"/>
      <c r="BT529" s="198"/>
      <c r="BU529" s="198"/>
      <c r="BV529" s="198"/>
      <c r="BW529" s="198"/>
      <c r="BX529" s="198"/>
      <c r="BY529" s="198"/>
      <c r="BZ529" s="198"/>
      <c r="CA529" s="198"/>
      <c r="CB529" s="198"/>
      <c r="CC529" s="198"/>
      <c r="CD529" s="198"/>
      <c r="CE529" s="198"/>
      <c r="CF529" s="198"/>
    </row>
    <row r="530" spans="1:85" s="183" customFormat="1" x14ac:dyDescent="0.25">
      <c r="A530" s="186" t="s">
        <v>323</v>
      </c>
      <c r="B530" s="133"/>
      <c r="C530" s="187"/>
      <c r="D530" s="188"/>
      <c r="E530" s="188"/>
      <c r="F530" s="188"/>
      <c r="G530" s="188"/>
      <c r="H530" s="188"/>
    </row>
    <row r="531" spans="1:85" s="183" customFormat="1" x14ac:dyDescent="0.25">
      <c r="A531" s="268"/>
      <c r="B531" s="269" t="s">
        <v>146</v>
      </c>
      <c r="C531" s="270"/>
      <c r="D531" s="271"/>
      <c r="E531" s="271"/>
      <c r="F531" s="271"/>
      <c r="G531" s="271"/>
      <c r="H531" s="271"/>
    </row>
    <row r="532" spans="1:85" s="183" customFormat="1" x14ac:dyDescent="0.25">
      <c r="A532" s="189"/>
      <c r="B532" s="157" t="s">
        <v>147</v>
      </c>
      <c r="C532" s="158"/>
      <c r="D532" s="304"/>
      <c r="E532" s="159"/>
      <c r="F532" s="159"/>
      <c r="G532" s="159"/>
      <c r="H532" s="159"/>
    </row>
    <row r="533" spans="1:85" s="183" customFormat="1" x14ac:dyDescent="0.25">
      <c r="A533" s="225"/>
      <c r="B533" s="226" t="s">
        <v>148</v>
      </c>
      <c r="C533" s="255"/>
      <c r="D533" s="242"/>
      <c r="E533" s="242"/>
      <c r="F533" s="242"/>
      <c r="G533" s="242"/>
      <c r="H533" s="242"/>
    </row>
    <row r="534" spans="1:85" s="199" customFormat="1" x14ac:dyDescent="0.25">
      <c r="A534" s="227" t="s">
        <v>4</v>
      </c>
      <c r="B534" s="221"/>
      <c r="C534" s="222"/>
      <c r="D534" s="236"/>
      <c r="E534" s="236"/>
      <c r="F534" s="236"/>
      <c r="G534" s="236"/>
      <c r="H534" s="236"/>
      <c r="I534" s="197"/>
      <c r="J534" s="197"/>
      <c r="K534" s="197"/>
      <c r="L534" s="197"/>
      <c r="M534" s="197"/>
      <c r="N534" s="197"/>
      <c r="O534" s="197"/>
      <c r="P534" s="197"/>
      <c r="Q534" s="197"/>
      <c r="R534" s="197"/>
      <c r="S534" s="197"/>
      <c r="T534" s="198"/>
      <c r="U534" s="198"/>
      <c r="V534" s="198"/>
      <c r="W534" s="198"/>
      <c r="X534" s="198"/>
      <c r="Y534" s="198"/>
      <c r="Z534" s="198"/>
      <c r="AA534" s="198"/>
      <c r="AB534" s="198"/>
      <c r="AC534" s="198"/>
      <c r="AD534" s="198"/>
      <c r="AE534" s="198"/>
      <c r="AF534" s="198"/>
      <c r="AG534" s="198"/>
      <c r="AH534" s="198"/>
      <c r="AI534" s="198"/>
      <c r="AJ534" s="198"/>
      <c r="AK534" s="198"/>
      <c r="AL534" s="198"/>
      <c r="AM534" s="198"/>
      <c r="AN534" s="198"/>
      <c r="AO534" s="198"/>
      <c r="AP534" s="198"/>
      <c r="AQ534" s="198"/>
      <c r="AR534" s="198"/>
      <c r="AS534" s="198"/>
      <c r="AT534" s="198"/>
      <c r="AU534" s="198"/>
      <c r="AV534" s="198"/>
      <c r="AW534" s="198"/>
      <c r="AX534" s="198"/>
      <c r="AY534" s="198"/>
      <c r="AZ534" s="198"/>
      <c r="BA534" s="198"/>
      <c r="BB534" s="198"/>
      <c r="BC534" s="198"/>
      <c r="BD534" s="198"/>
      <c r="BE534" s="198"/>
      <c r="BF534" s="198"/>
      <c r="BG534" s="198"/>
      <c r="BH534" s="198"/>
      <c r="BI534" s="198"/>
      <c r="BJ534" s="198"/>
      <c r="BK534" s="198"/>
      <c r="BL534" s="198"/>
      <c r="BM534" s="198"/>
      <c r="BN534" s="198"/>
      <c r="BO534" s="198"/>
      <c r="BP534" s="198"/>
      <c r="BQ534" s="198"/>
      <c r="BR534" s="198"/>
      <c r="BS534" s="198"/>
      <c r="BT534" s="198"/>
      <c r="BU534" s="198"/>
      <c r="BV534" s="198"/>
      <c r="BW534" s="198"/>
      <c r="BX534" s="198"/>
      <c r="BY534" s="198"/>
      <c r="BZ534" s="198"/>
      <c r="CA534" s="198"/>
      <c r="CB534" s="198"/>
      <c r="CC534" s="198"/>
      <c r="CD534" s="198"/>
      <c r="CE534" s="198"/>
      <c r="CF534" s="198"/>
      <c r="CG534" s="198"/>
    </row>
    <row r="535" spans="1:85" s="199" customFormat="1" x14ac:dyDescent="0.25">
      <c r="A535" s="169"/>
      <c r="B535" s="170"/>
      <c r="C535" s="218"/>
      <c r="D535" s="237"/>
      <c r="E535" s="237"/>
      <c r="F535" s="237"/>
      <c r="G535" s="237"/>
      <c r="H535" s="237"/>
      <c r="I535" s="197"/>
      <c r="J535" s="197"/>
      <c r="K535" s="197"/>
      <c r="L535" s="197"/>
      <c r="M535" s="197"/>
      <c r="N535" s="197"/>
      <c r="O535" s="197"/>
      <c r="P535" s="197"/>
      <c r="Q535" s="197"/>
      <c r="R535" s="197"/>
      <c r="S535" s="197"/>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8"/>
      <c r="AY535" s="198"/>
      <c r="AZ535" s="198"/>
      <c r="BA535" s="198"/>
      <c r="BB535" s="198"/>
      <c r="BC535" s="198"/>
      <c r="BD535" s="198"/>
      <c r="BE535" s="198"/>
      <c r="BF535" s="198"/>
      <c r="BG535" s="198"/>
      <c r="BH535" s="198"/>
      <c r="BI535" s="198"/>
      <c r="BJ535" s="198"/>
      <c r="BK535" s="198"/>
      <c r="BL535" s="198"/>
      <c r="BM535" s="198"/>
      <c r="BN535" s="198"/>
      <c r="BO535" s="198"/>
      <c r="BP535" s="198"/>
      <c r="BQ535" s="198"/>
      <c r="BR535" s="198"/>
      <c r="BS535" s="198"/>
      <c r="BT535" s="198"/>
      <c r="BU535" s="198"/>
      <c r="BV535" s="198"/>
      <c r="BW535" s="198"/>
      <c r="BX535" s="198"/>
      <c r="BY535" s="198"/>
      <c r="BZ535" s="198"/>
      <c r="CA535" s="198"/>
      <c r="CB535" s="198"/>
      <c r="CC535" s="198"/>
      <c r="CD535" s="198"/>
      <c r="CE535" s="198"/>
      <c r="CF535" s="198"/>
      <c r="CG535" s="198"/>
    </row>
    <row r="536" spans="1:85" s="199" customFormat="1" x14ac:dyDescent="0.25">
      <c r="A536" s="169"/>
      <c r="B536" s="170"/>
      <c r="C536" s="218"/>
      <c r="D536" s="237"/>
      <c r="E536" s="237"/>
      <c r="F536" s="237"/>
      <c r="G536" s="237"/>
      <c r="H536" s="237"/>
      <c r="I536" s="197"/>
      <c r="J536" s="197"/>
      <c r="K536" s="197"/>
      <c r="L536" s="197"/>
      <c r="M536" s="197"/>
      <c r="N536" s="197"/>
      <c r="O536" s="197"/>
      <c r="P536" s="197"/>
      <c r="Q536" s="197"/>
      <c r="R536" s="197"/>
      <c r="S536" s="197"/>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8"/>
      <c r="AY536" s="198"/>
      <c r="AZ536" s="198"/>
      <c r="BA536" s="198"/>
      <c r="BB536" s="198"/>
      <c r="BC536" s="198"/>
      <c r="BD536" s="198"/>
      <c r="BE536" s="198"/>
      <c r="BF536" s="198"/>
      <c r="BG536" s="198"/>
      <c r="BH536" s="198"/>
      <c r="BI536" s="198"/>
      <c r="BJ536" s="198"/>
      <c r="BK536" s="198"/>
      <c r="BL536" s="198"/>
      <c r="BM536" s="198"/>
      <c r="BN536" s="198"/>
      <c r="BO536" s="198"/>
      <c r="BP536" s="198"/>
      <c r="BQ536" s="198"/>
      <c r="BR536" s="198"/>
      <c r="BS536" s="198"/>
      <c r="BT536" s="198"/>
      <c r="BU536" s="198"/>
      <c r="BV536" s="198"/>
      <c r="BW536" s="198"/>
      <c r="BX536" s="198"/>
      <c r="BY536" s="198"/>
      <c r="BZ536" s="198"/>
      <c r="CA536" s="198"/>
      <c r="CB536" s="198"/>
      <c r="CC536" s="198"/>
      <c r="CD536" s="198"/>
      <c r="CE536" s="198"/>
      <c r="CF536" s="198"/>
      <c r="CG536" s="198"/>
    </row>
    <row r="537" spans="1:85" s="199" customFormat="1" x14ac:dyDescent="0.25">
      <c r="A537" s="169"/>
      <c r="B537" s="170"/>
      <c r="C537" s="218"/>
      <c r="D537" s="237"/>
      <c r="E537" s="237"/>
      <c r="F537" s="237"/>
      <c r="G537" s="237"/>
      <c r="H537" s="237"/>
      <c r="I537" s="197"/>
      <c r="J537" s="197"/>
      <c r="K537" s="197"/>
      <c r="L537" s="197"/>
      <c r="M537" s="197"/>
      <c r="N537" s="197"/>
      <c r="O537" s="197"/>
      <c r="P537" s="197"/>
      <c r="Q537" s="197"/>
      <c r="R537" s="197"/>
      <c r="S537" s="197"/>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8"/>
      <c r="AY537" s="198"/>
      <c r="AZ537" s="198"/>
      <c r="BA537" s="198"/>
      <c r="BB537" s="198"/>
      <c r="BC537" s="198"/>
      <c r="BD537" s="198"/>
      <c r="BE537" s="198"/>
      <c r="BF537" s="198"/>
      <c r="BG537" s="198"/>
      <c r="BH537" s="198"/>
      <c r="BI537" s="198"/>
      <c r="BJ537" s="198"/>
      <c r="BK537" s="198"/>
      <c r="BL537" s="198"/>
      <c r="BM537" s="198"/>
      <c r="BN537" s="198"/>
      <c r="BO537" s="198"/>
      <c r="BP537" s="198"/>
      <c r="BQ537" s="198"/>
      <c r="BR537" s="198"/>
      <c r="BS537" s="198"/>
      <c r="BT537" s="198"/>
      <c r="BU537" s="198"/>
      <c r="BV537" s="198"/>
      <c r="BW537" s="198"/>
      <c r="BX537" s="198"/>
      <c r="BY537" s="198"/>
      <c r="BZ537" s="198"/>
      <c r="CA537" s="198"/>
      <c r="CB537" s="198"/>
      <c r="CC537" s="198"/>
      <c r="CD537" s="198"/>
      <c r="CE537" s="198"/>
      <c r="CF537" s="198"/>
      <c r="CG537" s="198"/>
    </row>
    <row r="538" spans="1:85" s="199" customFormat="1" x14ac:dyDescent="0.25">
      <c r="A538" s="179"/>
      <c r="B538" s="180"/>
      <c r="C538" s="220"/>
      <c r="D538" s="238"/>
      <c r="E538" s="238"/>
      <c r="F538" s="238"/>
      <c r="G538" s="238"/>
      <c r="H538" s="238"/>
      <c r="I538" s="197"/>
      <c r="J538" s="197"/>
      <c r="K538" s="197"/>
      <c r="L538" s="197"/>
      <c r="M538" s="197"/>
      <c r="N538" s="197"/>
      <c r="O538" s="197"/>
      <c r="P538" s="197"/>
      <c r="Q538" s="197"/>
      <c r="R538" s="197"/>
      <c r="S538" s="197"/>
      <c r="T538" s="198"/>
      <c r="U538" s="198"/>
      <c r="V538" s="198"/>
      <c r="W538" s="198"/>
      <c r="X538" s="198"/>
      <c r="Y538" s="198"/>
      <c r="Z538" s="198"/>
      <c r="AA538" s="198"/>
      <c r="AB538" s="198"/>
      <c r="AC538" s="198"/>
      <c r="AD538" s="198"/>
      <c r="AE538" s="198"/>
      <c r="AF538" s="198"/>
      <c r="AG538" s="198"/>
      <c r="AH538" s="198"/>
      <c r="AI538" s="198"/>
      <c r="AJ538" s="198"/>
      <c r="AK538" s="198"/>
      <c r="AL538" s="198"/>
      <c r="AM538" s="198"/>
      <c r="AN538" s="198"/>
      <c r="AO538" s="198"/>
      <c r="AP538" s="198"/>
      <c r="AQ538" s="198"/>
      <c r="AR538" s="198"/>
      <c r="AS538" s="198"/>
      <c r="AT538" s="198"/>
      <c r="AU538" s="198"/>
      <c r="AV538" s="198"/>
      <c r="AW538" s="198"/>
      <c r="AX538" s="198"/>
      <c r="AY538" s="198"/>
      <c r="AZ538" s="198"/>
      <c r="BA538" s="198"/>
      <c r="BB538" s="198"/>
      <c r="BC538" s="198"/>
      <c r="BD538" s="198"/>
      <c r="BE538" s="198"/>
      <c r="BF538" s="198"/>
      <c r="BG538" s="198"/>
      <c r="BH538" s="198"/>
      <c r="BI538" s="198"/>
      <c r="BJ538" s="198"/>
      <c r="BK538" s="198"/>
      <c r="BL538" s="198"/>
      <c r="BM538" s="198"/>
      <c r="BN538" s="198"/>
      <c r="BO538" s="198"/>
      <c r="BP538" s="198"/>
      <c r="BQ538" s="198"/>
      <c r="BR538" s="198"/>
      <c r="BS538" s="198"/>
      <c r="BT538" s="198"/>
      <c r="BU538" s="198"/>
      <c r="BV538" s="198"/>
      <c r="BW538" s="198"/>
      <c r="BX538" s="198"/>
      <c r="BY538" s="198"/>
      <c r="BZ538" s="198"/>
      <c r="CA538" s="198"/>
      <c r="CB538" s="198"/>
      <c r="CC538" s="198"/>
      <c r="CD538" s="198"/>
      <c r="CE538" s="198"/>
      <c r="CF538" s="198"/>
      <c r="CG538" s="198"/>
    </row>
    <row r="539" spans="1:85" s="199" customFormat="1" ht="15.6" x14ac:dyDescent="0.3">
      <c r="A539" s="241"/>
      <c r="B539" s="239" t="s">
        <v>160</v>
      </c>
      <c r="C539" s="309"/>
      <c r="D539" s="309"/>
      <c r="E539" s="309"/>
      <c r="F539" s="309"/>
      <c r="G539" s="309"/>
      <c r="H539" s="309"/>
      <c r="I539" s="197"/>
      <c r="J539" s="197"/>
      <c r="K539" s="197"/>
      <c r="L539" s="197"/>
      <c r="M539" s="197"/>
      <c r="N539" s="197"/>
      <c r="O539" s="197"/>
      <c r="P539" s="197"/>
      <c r="Q539" s="197"/>
      <c r="R539" s="197"/>
      <c r="S539" s="197"/>
      <c r="T539" s="198"/>
      <c r="U539" s="198"/>
      <c r="V539" s="198"/>
      <c r="W539" s="198"/>
      <c r="X539" s="198"/>
      <c r="Y539" s="198"/>
      <c r="Z539" s="198"/>
      <c r="AA539" s="198"/>
      <c r="AB539" s="198"/>
      <c r="AC539" s="198"/>
      <c r="AD539" s="198"/>
      <c r="AE539" s="198"/>
      <c r="AF539" s="198"/>
      <c r="AG539" s="198"/>
      <c r="AH539" s="198"/>
      <c r="AI539" s="198"/>
      <c r="AJ539" s="198"/>
      <c r="AK539" s="198"/>
      <c r="AL539" s="198"/>
      <c r="AM539" s="198"/>
      <c r="AN539" s="198"/>
      <c r="AO539" s="198"/>
      <c r="AP539" s="198"/>
      <c r="AQ539" s="198"/>
      <c r="AR539" s="198"/>
      <c r="AS539" s="198"/>
      <c r="AT539" s="198"/>
      <c r="AU539" s="198"/>
      <c r="AV539" s="198"/>
      <c r="AW539" s="198"/>
      <c r="AX539" s="198"/>
      <c r="AY539" s="198"/>
      <c r="AZ539" s="198"/>
      <c r="BA539" s="198"/>
      <c r="BB539" s="198"/>
      <c r="BC539" s="198"/>
      <c r="BD539" s="198"/>
      <c r="BE539" s="198"/>
      <c r="BF539" s="198"/>
      <c r="BG539" s="198"/>
      <c r="BH539" s="198"/>
      <c r="BI539" s="198"/>
      <c r="BJ539" s="198"/>
      <c r="BK539" s="198"/>
      <c r="BL539" s="198"/>
      <c r="BM539" s="198"/>
      <c r="BN539" s="198"/>
      <c r="BO539" s="198"/>
      <c r="BP539" s="198"/>
      <c r="BQ539" s="198"/>
      <c r="BR539" s="198"/>
      <c r="BS539" s="198"/>
      <c r="BT539" s="198"/>
      <c r="BU539" s="198"/>
      <c r="BV539" s="198"/>
      <c r="BW539" s="198"/>
      <c r="BX539" s="198"/>
      <c r="BY539" s="198"/>
      <c r="BZ539" s="198"/>
      <c r="CA539" s="198"/>
      <c r="CB539" s="198"/>
      <c r="CC539" s="198"/>
      <c r="CD539" s="198"/>
      <c r="CE539" s="198"/>
      <c r="CF539" s="198"/>
      <c r="CG539" s="198"/>
    </row>
    <row r="540" spans="1:85" x14ac:dyDescent="0.25">
      <c r="I540" s="199"/>
      <c r="J540" s="199"/>
    </row>
    <row r="541" spans="1:85" x14ac:dyDescent="0.25">
      <c r="I541" s="199"/>
      <c r="J541" s="199"/>
    </row>
    <row r="542" spans="1:85" x14ac:dyDescent="0.25">
      <c r="I542" s="199"/>
      <c r="J542" s="199"/>
    </row>
    <row r="543" spans="1:85" x14ac:dyDescent="0.25">
      <c r="I543" s="199"/>
      <c r="J543" s="199"/>
    </row>
    <row r="544" spans="1:85" x14ac:dyDescent="0.25">
      <c r="I544" s="199"/>
      <c r="J544" s="199"/>
    </row>
    <row r="545" spans="9:10" x14ac:dyDescent="0.25">
      <c r="I545" s="199"/>
      <c r="J545" s="199"/>
    </row>
    <row r="546" spans="9:10" x14ac:dyDescent="0.25">
      <c r="I546" s="199"/>
      <c r="J546" s="199"/>
    </row>
    <row r="547" spans="9:10" x14ac:dyDescent="0.25">
      <c r="I547" s="199"/>
      <c r="J547" s="199"/>
    </row>
    <row r="548" spans="9:10" x14ac:dyDescent="0.25">
      <c r="I548" s="199"/>
      <c r="J548" s="199"/>
    </row>
    <row r="549" spans="9:10" x14ac:dyDescent="0.25">
      <c r="I549" s="199"/>
      <c r="J549" s="199"/>
    </row>
    <row r="550" spans="9:10" x14ac:dyDescent="0.25">
      <c r="I550" s="199"/>
      <c r="J550" s="199"/>
    </row>
    <row r="551" spans="9:10" x14ac:dyDescent="0.25">
      <c r="I551" s="199"/>
      <c r="J551" s="199"/>
    </row>
    <row r="552" spans="9:10" x14ac:dyDescent="0.25">
      <c r="I552" s="199"/>
      <c r="J552" s="199"/>
    </row>
    <row r="553" spans="9:10" x14ac:dyDescent="0.25">
      <c r="I553" s="199"/>
      <c r="J553" s="199"/>
    </row>
    <row r="554" spans="9:10" x14ac:dyDescent="0.25">
      <c r="I554" s="199"/>
      <c r="J554" s="199"/>
    </row>
    <row r="555" spans="9:10" x14ac:dyDescent="0.25">
      <c r="I555" s="199"/>
      <c r="J555" s="199"/>
    </row>
    <row r="556" spans="9:10" x14ac:dyDescent="0.25">
      <c r="I556" s="199"/>
      <c r="J556" s="199"/>
    </row>
    <row r="557" spans="9:10" x14ac:dyDescent="0.25">
      <c r="I557" s="199"/>
      <c r="J557" s="199"/>
    </row>
    <row r="558" spans="9:10" x14ac:dyDescent="0.25">
      <c r="I558" s="199"/>
      <c r="J558" s="199"/>
    </row>
    <row r="559" spans="9:10" x14ac:dyDescent="0.25">
      <c r="I559" s="199"/>
      <c r="J559" s="199"/>
    </row>
    <row r="560" spans="9:10" x14ac:dyDescent="0.25">
      <c r="I560" s="199"/>
      <c r="J560" s="199"/>
    </row>
    <row r="561" spans="9:10" x14ac:dyDescent="0.25">
      <c r="I561" s="199"/>
      <c r="J561" s="199"/>
    </row>
    <row r="562" spans="9:10" x14ac:dyDescent="0.25">
      <c r="I562" s="199"/>
      <c r="J562" s="199"/>
    </row>
    <row r="563" spans="9:10" x14ac:dyDescent="0.25">
      <c r="I563" s="199"/>
      <c r="J563" s="199"/>
    </row>
    <row r="564" spans="9:10" x14ac:dyDescent="0.25">
      <c r="I564" s="199"/>
      <c r="J564" s="199"/>
    </row>
    <row r="565" spans="9:10" x14ac:dyDescent="0.25">
      <c r="I565" s="199"/>
      <c r="J565" s="199"/>
    </row>
    <row r="566" spans="9:10" x14ac:dyDescent="0.25">
      <c r="I566" s="199"/>
      <c r="J566" s="199"/>
    </row>
    <row r="567" spans="9:10" x14ac:dyDescent="0.25">
      <c r="I567" s="199"/>
      <c r="J567" s="199"/>
    </row>
    <row r="568" spans="9:10" x14ac:dyDescent="0.25">
      <c r="I568" s="199"/>
      <c r="J568" s="199"/>
    </row>
    <row r="569" spans="9:10" x14ac:dyDescent="0.25">
      <c r="I569" s="199"/>
      <c r="J569" s="199"/>
    </row>
    <row r="570" spans="9:10" x14ac:dyDescent="0.25">
      <c r="I570" s="199"/>
      <c r="J570" s="199"/>
    </row>
    <row r="571" spans="9:10" x14ac:dyDescent="0.25">
      <c r="I571" s="199"/>
      <c r="J571" s="199"/>
    </row>
    <row r="572" spans="9:10" x14ac:dyDescent="0.25">
      <c r="I572" s="199"/>
      <c r="J572" s="199"/>
    </row>
    <row r="573" spans="9:10" x14ac:dyDescent="0.25">
      <c r="I573" s="199"/>
      <c r="J573" s="199"/>
    </row>
    <row r="574" spans="9:10" x14ac:dyDescent="0.25">
      <c r="I574" s="199"/>
      <c r="J574" s="199"/>
    </row>
    <row r="575" spans="9:10" x14ac:dyDescent="0.25">
      <c r="I575" s="199"/>
      <c r="J575" s="199"/>
    </row>
    <row r="576" spans="9:10" x14ac:dyDescent="0.25">
      <c r="I576" s="199"/>
      <c r="J576" s="199"/>
    </row>
    <row r="577" spans="9:10" x14ac:dyDescent="0.25">
      <c r="I577" s="199"/>
      <c r="J577" s="199"/>
    </row>
    <row r="578" spans="9:10" x14ac:dyDescent="0.25">
      <c r="I578" s="199"/>
      <c r="J578" s="199"/>
    </row>
    <row r="579" spans="9:10" x14ac:dyDescent="0.25">
      <c r="I579" s="199"/>
      <c r="J579" s="199"/>
    </row>
    <row r="580" spans="9:10" x14ac:dyDescent="0.25">
      <c r="I580" s="199"/>
      <c r="J580" s="199"/>
    </row>
    <row r="581" spans="9:10" x14ac:dyDescent="0.25">
      <c r="I581" s="199"/>
      <c r="J581" s="199"/>
    </row>
    <row r="582" spans="9:10" x14ac:dyDescent="0.25">
      <c r="I582" s="199"/>
      <c r="J582" s="199"/>
    </row>
    <row r="583" spans="9:10" x14ac:dyDescent="0.25">
      <c r="I583" s="199"/>
      <c r="J583" s="199"/>
    </row>
    <row r="584" spans="9:10" x14ac:dyDescent="0.25">
      <c r="I584" s="199"/>
      <c r="J584" s="199"/>
    </row>
    <row r="585" spans="9:10" x14ac:dyDescent="0.25">
      <c r="I585" s="199"/>
      <c r="J585" s="199"/>
    </row>
    <row r="586" spans="9:10" x14ac:dyDescent="0.25">
      <c r="I586" s="199"/>
      <c r="J586" s="199"/>
    </row>
    <row r="587" spans="9:10" x14ac:dyDescent="0.25">
      <c r="I587" s="199"/>
      <c r="J587" s="199"/>
    </row>
    <row r="588" spans="9:10" x14ac:dyDescent="0.25">
      <c r="I588" s="199"/>
      <c r="J588" s="199"/>
    </row>
    <row r="589" spans="9:10" x14ac:dyDescent="0.25">
      <c r="I589" s="199"/>
      <c r="J589" s="199"/>
    </row>
    <row r="590" spans="9:10" x14ac:dyDescent="0.25">
      <c r="I590" s="199"/>
      <c r="J590" s="199"/>
    </row>
    <row r="591" spans="9:10" x14ac:dyDescent="0.25">
      <c r="I591" s="199"/>
      <c r="J591" s="199"/>
    </row>
    <row r="592" spans="9:10" x14ac:dyDescent="0.25">
      <c r="I592" s="199"/>
      <c r="J592" s="199"/>
    </row>
    <row r="593" spans="9:10" x14ac:dyDescent="0.25">
      <c r="I593" s="199"/>
      <c r="J593" s="199"/>
    </row>
    <row r="594" spans="9:10" x14ac:dyDescent="0.25">
      <c r="I594" s="199"/>
      <c r="J594" s="199"/>
    </row>
    <row r="595" spans="9:10" x14ac:dyDescent="0.25">
      <c r="I595" s="199"/>
      <c r="J595" s="199"/>
    </row>
    <row r="596" spans="9:10" x14ac:dyDescent="0.25">
      <c r="I596" s="199"/>
      <c r="J596" s="199"/>
    </row>
    <row r="597" spans="9:10" x14ac:dyDescent="0.25">
      <c r="I597" s="199"/>
      <c r="J597" s="199"/>
    </row>
    <row r="598" spans="9:10" x14ac:dyDescent="0.25">
      <c r="I598" s="199"/>
      <c r="J598" s="199"/>
    </row>
    <row r="599" spans="9:10" x14ac:dyDescent="0.25">
      <c r="I599" s="199"/>
      <c r="J599" s="199"/>
    </row>
    <row r="600" spans="9:10" x14ac:dyDescent="0.25">
      <c r="I600" s="199"/>
      <c r="J600" s="199"/>
    </row>
    <row r="601" spans="9:10" x14ac:dyDescent="0.25">
      <c r="I601" s="199"/>
      <c r="J601" s="199"/>
    </row>
    <row r="602" spans="9:10" x14ac:dyDescent="0.25">
      <c r="I602" s="199"/>
      <c r="J602" s="199"/>
    </row>
    <row r="603" spans="9:10" x14ac:dyDescent="0.25">
      <c r="I603" s="199"/>
      <c r="J603" s="199"/>
    </row>
    <row r="604" spans="9:10" x14ac:dyDescent="0.25">
      <c r="I604" s="199"/>
      <c r="J604" s="199"/>
    </row>
    <row r="605" spans="9:10" x14ac:dyDescent="0.25">
      <c r="I605" s="199"/>
      <c r="J605" s="199"/>
    </row>
    <row r="606" spans="9:10" x14ac:dyDescent="0.25">
      <c r="I606" s="199"/>
      <c r="J606" s="199"/>
    </row>
    <row r="607" spans="9:10" x14ac:dyDescent="0.25">
      <c r="I607" s="199"/>
      <c r="J607" s="199"/>
    </row>
    <row r="608" spans="9:10" x14ac:dyDescent="0.25">
      <c r="I608" s="199"/>
      <c r="J608" s="199"/>
    </row>
    <row r="609" spans="9:10" x14ac:dyDescent="0.25">
      <c r="I609" s="199"/>
      <c r="J609" s="199"/>
    </row>
    <row r="610" spans="9:10" x14ac:dyDescent="0.25">
      <c r="I610" s="199"/>
      <c r="J610" s="199"/>
    </row>
    <row r="611" spans="9:10" x14ac:dyDescent="0.25">
      <c r="I611" s="199"/>
      <c r="J611" s="199"/>
    </row>
    <row r="612" spans="9:10" x14ac:dyDescent="0.25">
      <c r="I612" s="199"/>
      <c r="J612" s="199"/>
    </row>
    <row r="613" spans="9:10" x14ac:dyDescent="0.25">
      <c r="I613" s="199"/>
      <c r="J613" s="199"/>
    </row>
    <row r="614" spans="9:10" x14ac:dyDescent="0.25">
      <c r="I614" s="199"/>
      <c r="J614" s="199"/>
    </row>
    <row r="615" spans="9:10" x14ac:dyDescent="0.25">
      <c r="I615" s="199"/>
      <c r="J615" s="199"/>
    </row>
    <row r="616" spans="9:10" x14ac:dyDescent="0.25">
      <c r="I616" s="199"/>
      <c r="J616" s="199"/>
    </row>
    <row r="617" spans="9:10" x14ac:dyDescent="0.25">
      <c r="I617" s="199"/>
      <c r="J617" s="199"/>
    </row>
    <row r="618" spans="9:10" x14ac:dyDescent="0.25">
      <c r="I618" s="199"/>
      <c r="J618" s="199"/>
    </row>
    <row r="619" spans="9:10" x14ac:dyDescent="0.25">
      <c r="I619" s="199"/>
      <c r="J619" s="199"/>
    </row>
    <row r="620" spans="9:10" x14ac:dyDescent="0.25">
      <c r="I620" s="199"/>
      <c r="J620" s="199"/>
    </row>
    <row r="621" spans="9:10" x14ac:dyDescent="0.25">
      <c r="I621" s="199"/>
      <c r="J621" s="199"/>
    </row>
    <row r="622" spans="9:10" x14ac:dyDescent="0.25">
      <c r="I622" s="199"/>
      <c r="J622" s="199"/>
    </row>
    <row r="623" spans="9:10" x14ac:dyDescent="0.25">
      <c r="I623" s="199"/>
      <c r="J623" s="199"/>
    </row>
    <row r="624" spans="9:10" x14ac:dyDescent="0.25">
      <c r="I624" s="199"/>
      <c r="J624" s="199"/>
    </row>
    <row r="625" spans="9:10" x14ac:dyDescent="0.25">
      <c r="I625" s="199"/>
      <c r="J625" s="199"/>
    </row>
    <row r="626" spans="9:10" x14ac:dyDescent="0.25">
      <c r="I626" s="199"/>
      <c r="J626" s="199"/>
    </row>
    <row r="627" spans="9:10" x14ac:dyDescent="0.25">
      <c r="I627" s="199"/>
      <c r="J627" s="199"/>
    </row>
    <row r="628" spans="9:10" x14ac:dyDescent="0.25">
      <c r="I628" s="199"/>
      <c r="J628" s="199"/>
    </row>
    <row r="629" spans="9:10" x14ac:dyDescent="0.25">
      <c r="I629" s="199"/>
      <c r="J629" s="199"/>
    </row>
    <row r="630" spans="9:10" x14ac:dyDescent="0.25">
      <c r="I630" s="199"/>
      <c r="J630" s="199"/>
    </row>
    <row r="631" spans="9:10" x14ac:dyDescent="0.25">
      <c r="I631" s="199"/>
      <c r="J631" s="199"/>
    </row>
    <row r="632" spans="9:10" x14ac:dyDescent="0.25">
      <c r="I632" s="199"/>
      <c r="J632" s="199"/>
    </row>
    <row r="633" spans="9:10" x14ac:dyDescent="0.25">
      <c r="I633" s="199"/>
      <c r="J633" s="199"/>
    </row>
    <row r="634" spans="9:10" x14ac:dyDescent="0.25">
      <c r="I634" s="199"/>
      <c r="J634" s="199"/>
    </row>
    <row r="635" spans="9:10" x14ac:dyDescent="0.25">
      <c r="I635" s="199"/>
      <c r="J635" s="199"/>
    </row>
    <row r="636" spans="9:10" x14ac:dyDescent="0.25">
      <c r="I636" s="199"/>
      <c r="J636" s="199"/>
    </row>
    <row r="637" spans="9:10" x14ac:dyDescent="0.25">
      <c r="I637" s="199"/>
      <c r="J637" s="199"/>
    </row>
    <row r="638" spans="9:10" x14ac:dyDescent="0.25">
      <c r="I638" s="199"/>
      <c r="J638" s="199"/>
    </row>
    <row r="639" spans="9:10" x14ac:dyDescent="0.25">
      <c r="I639" s="199"/>
      <c r="J639" s="199"/>
    </row>
    <row r="640" spans="9:10" x14ac:dyDescent="0.25">
      <c r="I640" s="199"/>
      <c r="J640" s="199"/>
    </row>
    <row r="641" spans="9:10" x14ac:dyDescent="0.25">
      <c r="I641" s="199"/>
      <c r="J641" s="199"/>
    </row>
    <row r="642" spans="9:10" x14ac:dyDescent="0.25">
      <c r="I642" s="199"/>
      <c r="J642" s="199"/>
    </row>
    <row r="643" spans="9:10" x14ac:dyDescent="0.25">
      <c r="I643" s="199"/>
      <c r="J643" s="199"/>
    </row>
    <row r="644" spans="9:10" x14ac:dyDescent="0.25">
      <c r="I644" s="199"/>
      <c r="J644" s="199"/>
    </row>
    <row r="645" spans="9:10" x14ac:dyDescent="0.25">
      <c r="I645" s="199"/>
      <c r="J645" s="199"/>
    </row>
    <row r="646" spans="9:10" x14ac:dyDescent="0.25">
      <c r="I646" s="199"/>
      <c r="J646" s="199"/>
    </row>
    <row r="647" spans="9:10" x14ac:dyDescent="0.25">
      <c r="I647" s="199"/>
      <c r="J647" s="199"/>
    </row>
    <row r="648" spans="9:10" x14ac:dyDescent="0.25">
      <c r="I648" s="199"/>
      <c r="J648" s="199"/>
    </row>
    <row r="649" spans="9:10" x14ac:dyDescent="0.25">
      <c r="I649" s="199"/>
      <c r="J649" s="199"/>
    </row>
    <row r="650" spans="9:10" x14ac:dyDescent="0.25">
      <c r="I650" s="199"/>
      <c r="J650" s="199"/>
    </row>
    <row r="651" spans="9:10" x14ac:dyDescent="0.25">
      <c r="I651" s="199"/>
      <c r="J651" s="199"/>
    </row>
    <row r="652" spans="9:10" x14ac:dyDescent="0.25">
      <c r="I652" s="199"/>
      <c r="J652" s="199"/>
    </row>
    <row r="653" spans="9:10" x14ac:dyDescent="0.25">
      <c r="I653" s="199"/>
      <c r="J653" s="199"/>
    </row>
    <row r="654" spans="9:10" x14ac:dyDescent="0.25">
      <c r="I654" s="199"/>
      <c r="J654" s="199"/>
    </row>
    <row r="655" spans="9:10" x14ac:dyDescent="0.25">
      <c r="I655" s="199"/>
      <c r="J655" s="199"/>
    </row>
    <row r="656" spans="9:10" x14ac:dyDescent="0.25">
      <c r="I656" s="199"/>
      <c r="J656" s="199"/>
    </row>
    <row r="657" spans="9:10" x14ac:dyDescent="0.25">
      <c r="I657" s="199"/>
      <c r="J657" s="199"/>
    </row>
    <row r="658" spans="9:10" x14ac:dyDescent="0.25">
      <c r="I658" s="199"/>
      <c r="J658" s="199"/>
    </row>
    <row r="659" spans="9:10" x14ac:dyDescent="0.25">
      <c r="I659" s="199"/>
      <c r="J659" s="199"/>
    </row>
    <row r="660" spans="9:10" x14ac:dyDescent="0.25">
      <c r="I660" s="199"/>
      <c r="J660" s="199"/>
    </row>
    <row r="661" spans="9:10" x14ac:dyDescent="0.25">
      <c r="I661" s="199"/>
      <c r="J661" s="199"/>
    </row>
    <row r="662" spans="9:10" x14ac:dyDescent="0.25">
      <c r="I662" s="199"/>
      <c r="J662" s="199"/>
    </row>
    <row r="663" spans="9:10" x14ac:dyDescent="0.25">
      <c r="I663" s="199"/>
      <c r="J663" s="199"/>
    </row>
    <row r="664" spans="9:10" x14ac:dyDescent="0.25">
      <c r="I664" s="199"/>
      <c r="J664" s="199"/>
    </row>
    <row r="665" spans="9:10" x14ac:dyDescent="0.25">
      <c r="I665" s="199"/>
      <c r="J665" s="199"/>
    </row>
    <row r="666" spans="9:10" x14ac:dyDescent="0.25">
      <c r="I666" s="199"/>
      <c r="J666" s="199"/>
    </row>
    <row r="667" spans="9:10" x14ac:dyDescent="0.25">
      <c r="I667" s="199"/>
      <c r="J667" s="199"/>
    </row>
    <row r="668" spans="9:10" x14ac:dyDescent="0.25">
      <c r="I668" s="199"/>
      <c r="J668" s="199"/>
    </row>
    <row r="669" spans="9:10" x14ac:dyDescent="0.25">
      <c r="I669" s="199"/>
      <c r="J669" s="199"/>
    </row>
    <row r="670" spans="9:10" x14ac:dyDescent="0.25">
      <c r="I670" s="199"/>
      <c r="J670" s="199"/>
    </row>
    <row r="671" spans="9:10" x14ac:dyDescent="0.25">
      <c r="I671" s="199"/>
      <c r="J671" s="199"/>
    </row>
    <row r="672" spans="9:10" x14ac:dyDescent="0.25">
      <c r="I672" s="199"/>
      <c r="J672" s="199"/>
    </row>
    <row r="673" spans="9:10" x14ac:dyDescent="0.25">
      <c r="I673" s="199"/>
      <c r="J673" s="199"/>
    </row>
    <row r="674" spans="9:10" x14ac:dyDescent="0.25">
      <c r="I674" s="199"/>
      <c r="J674" s="199"/>
    </row>
    <row r="675" spans="9:10" x14ac:dyDescent="0.25">
      <c r="I675" s="199"/>
      <c r="J675" s="199"/>
    </row>
    <row r="676" spans="9:10" x14ac:dyDescent="0.25">
      <c r="I676" s="199"/>
      <c r="J676" s="199"/>
    </row>
    <row r="677" spans="9:10" x14ac:dyDescent="0.25">
      <c r="I677" s="199"/>
      <c r="J677" s="199"/>
    </row>
    <row r="678" spans="9:10" x14ac:dyDescent="0.25">
      <c r="I678" s="199"/>
      <c r="J678" s="199"/>
    </row>
    <row r="679" spans="9:10" x14ac:dyDescent="0.25">
      <c r="I679" s="199"/>
      <c r="J679" s="199"/>
    </row>
    <row r="680" spans="9:10" x14ac:dyDescent="0.25">
      <c r="I680" s="199"/>
      <c r="J680" s="199"/>
    </row>
    <row r="681" spans="9:10" x14ac:dyDescent="0.25">
      <c r="I681" s="199"/>
      <c r="J681" s="199"/>
    </row>
    <row r="682" spans="9:10" x14ac:dyDescent="0.25">
      <c r="I682" s="199"/>
      <c r="J682" s="199"/>
    </row>
    <row r="683" spans="9:10" x14ac:dyDescent="0.25">
      <c r="I683" s="199"/>
      <c r="J683" s="199"/>
    </row>
    <row r="684" spans="9:10" x14ac:dyDescent="0.25">
      <c r="I684" s="199"/>
      <c r="J684" s="199"/>
    </row>
    <row r="685" spans="9:10" x14ac:dyDescent="0.25">
      <c r="I685" s="199"/>
      <c r="J685" s="199"/>
    </row>
    <row r="686" spans="9:10" x14ac:dyDescent="0.25">
      <c r="I686" s="199"/>
      <c r="J686" s="199"/>
    </row>
    <row r="687" spans="9:10" x14ac:dyDescent="0.25">
      <c r="I687" s="199"/>
      <c r="J687" s="199"/>
    </row>
    <row r="688" spans="9:10" x14ac:dyDescent="0.25">
      <c r="I688" s="199"/>
      <c r="J688" s="199"/>
    </row>
    <row r="689" spans="9:10" x14ac:dyDescent="0.25">
      <c r="I689" s="199"/>
      <c r="J689" s="199"/>
    </row>
    <row r="690" spans="9:10" x14ac:dyDescent="0.25">
      <c r="I690" s="199"/>
      <c r="J690" s="199"/>
    </row>
    <row r="691" spans="9:10" x14ac:dyDescent="0.25">
      <c r="I691" s="199"/>
      <c r="J691" s="199"/>
    </row>
    <row r="692" spans="9:10" x14ac:dyDescent="0.25">
      <c r="I692" s="199"/>
      <c r="J692" s="199"/>
    </row>
    <row r="693" spans="9:10" x14ac:dyDescent="0.25">
      <c r="I693" s="199"/>
      <c r="J693" s="199"/>
    </row>
    <row r="694" spans="9:10" x14ac:dyDescent="0.25">
      <c r="I694" s="199"/>
      <c r="J694" s="199"/>
    </row>
    <row r="695" spans="9:10" x14ac:dyDescent="0.25">
      <c r="I695" s="199"/>
      <c r="J695" s="199"/>
    </row>
    <row r="696" spans="9:10" x14ac:dyDescent="0.25">
      <c r="I696" s="199"/>
      <c r="J696" s="199"/>
    </row>
    <row r="697" spans="9:10" x14ac:dyDescent="0.25">
      <c r="I697" s="199"/>
      <c r="J697" s="199"/>
    </row>
    <row r="698" spans="9:10" x14ac:dyDescent="0.25">
      <c r="I698" s="199"/>
      <c r="J698" s="199"/>
    </row>
    <row r="699" spans="9:10" x14ac:dyDescent="0.25">
      <c r="I699" s="199"/>
      <c r="J699" s="199"/>
    </row>
    <row r="700" spans="9:10" x14ac:dyDescent="0.25">
      <c r="I700" s="199"/>
      <c r="J700" s="199"/>
    </row>
    <row r="701" spans="9:10" x14ac:dyDescent="0.25">
      <c r="I701" s="199"/>
      <c r="J701" s="199"/>
    </row>
    <row r="702" spans="9:10" x14ac:dyDescent="0.25">
      <c r="I702" s="199"/>
      <c r="J702" s="199"/>
    </row>
    <row r="703" spans="9:10" x14ac:dyDescent="0.25">
      <c r="I703" s="199"/>
      <c r="J703" s="199"/>
    </row>
    <row r="704" spans="9:10" x14ac:dyDescent="0.25">
      <c r="I704" s="199"/>
      <c r="J704" s="199"/>
    </row>
    <row r="705" spans="9:10" x14ac:dyDescent="0.25">
      <c r="I705" s="199"/>
      <c r="J705" s="199"/>
    </row>
    <row r="706" spans="9:10" x14ac:dyDescent="0.25">
      <c r="I706" s="199"/>
      <c r="J706" s="199"/>
    </row>
    <row r="707" spans="9:10" x14ac:dyDescent="0.25">
      <c r="I707" s="199"/>
      <c r="J707" s="199"/>
    </row>
    <row r="708" spans="9:10" x14ac:dyDescent="0.25">
      <c r="I708" s="199"/>
      <c r="J708" s="199"/>
    </row>
    <row r="709" spans="9:10" x14ac:dyDescent="0.25">
      <c r="I709" s="199"/>
      <c r="J709" s="199"/>
    </row>
    <row r="710" spans="9:10" x14ac:dyDescent="0.25">
      <c r="I710" s="199"/>
      <c r="J710" s="199"/>
    </row>
    <row r="711" spans="9:10" x14ac:dyDescent="0.25">
      <c r="I711" s="199"/>
      <c r="J711" s="199"/>
    </row>
    <row r="712" spans="9:10" x14ac:dyDescent="0.25">
      <c r="I712" s="199"/>
      <c r="J712" s="199"/>
    </row>
    <row r="713" spans="9:10" x14ac:dyDescent="0.25">
      <c r="I713" s="199"/>
      <c r="J713" s="199"/>
    </row>
    <row r="714" spans="9:10" x14ac:dyDescent="0.25">
      <c r="I714" s="199"/>
      <c r="J714" s="199"/>
    </row>
    <row r="715" spans="9:10" x14ac:dyDescent="0.25">
      <c r="I715" s="199"/>
      <c r="J715" s="199"/>
    </row>
    <row r="716" spans="9:10" x14ac:dyDescent="0.25">
      <c r="I716" s="199"/>
      <c r="J716" s="199"/>
    </row>
    <row r="717" spans="9:10" x14ac:dyDescent="0.25">
      <c r="I717" s="199"/>
      <c r="J717" s="199"/>
    </row>
    <row r="718" spans="9:10" x14ac:dyDescent="0.25">
      <c r="I718" s="199"/>
      <c r="J718" s="199"/>
    </row>
    <row r="719" spans="9:10" x14ac:dyDescent="0.25">
      <c r="I719" s="199"/>
      <c r="J719" s="199"/>
    </row>
    <row r="720" spans="9:10" x14ac:dyDescent="0.25">
      <c r="I720" s="199"/>
      <c r="J720" s="199"/>
    </row>
    <row r="721" spans="9:10" x14ac:dyDescent="0.25">
      <c r="I721" s="199"/>
      <c r="J721" s="199"/>
    </row>
    <row r="722" spans="9:10" x14ac:dyDescent="0.25">
      <c r="I722" s="199"/>
      <c r="J722" s="199"/>
    </row>
    <row r="723" spans="9:10" x14ac:dyDescent="0.25">
      <c r="I723" s="199"/>
      <c r="J723" s="199"/>
    </row>
    <row r="724" spans="9:10" x14ac:dyDescent="0.25">
      <c r="I724" s="199"/>
      <c r="J724" s="199"/>
    </row>
    <row r="725" spans="9:10" x14ac:dyDescent="0.25">
      <c r="I725" s="199"/>
      <c r="J725" s="199"/>
    </row>
    <row r="726" spans="9:10" x14ac:dyDescent="0.25">
      <c r="I726" s="199"/>
      <c r="J726" s="199"/>
    </row>
    <row r="727" spans="9:10" x14ac:dyDescent="0.25">
      <c r="I727" s="199"/>
      <c r="J727" s="199"/>
    </row>
    <row r="728" spans="9:10" x14ac:dyDescent="0.25">
      <c r="I728" s="199"/>
      <c r="J728" s="199"/>
    </row>
    <row r="729" spans="9:10" x14ac:dyDescent="0.25">
      <c r="I729" s="199"/>
      <c r="J729" s="199"/>
    </row>
    <row r="730" spans="9:10" x14ac:dyDescent="0.25">
      <c r="I730" s="199"/>
      <c r="J730" s="199"/>
    </row>
    <row r="731" spans="9:10" x14ac:dyDescent="0.25">
      <c r="I731" s="199"/>
      <c r="J731" s="199"/>
    </row>
    <row r="732" spans="9:10" x14ac:dyDescent="0.25">
      <c r="I732" s="199"/>
      <c r="J732" s="199"/>
    </row>
    <row r="733" spans="9:10" x14ac:dyDescent="0.25">
      <c r="I733" s="199"/>
      <c r="J733" s="199"/>
    </row>
    <row r="734" spans="9:10" x14ac:dyDescent="0.25">
      <c r="I734" s="199"/>
      <c r="J734" s="199"/>
    </row>
    <row r="735" spans="9:10" x14ac:dyDescent="0.25">
      <c r="I735" s="199"/>
      <c r="J735" s="199"/>
    </row>
    <row r="736" spans="9:10" x14ac:dyDescent="0.25">
      <c r="I736" s="199"/>
      <c r="J736" s="199"/>
    </row>
    <row r="737" spans="9:10" x14ac:dyDescent="0.25">
      <c r="I737" s="199"/>
      <c r="J737" s="199"/>
    </row>
    <row r="738" spans="9:10" x14ac:dyDescent="0.25">
      <c r="I738" s="199"/>
      <c r="J738" s="199"/>
    </row>
    <row r="739" spans="9:10" x14ac:dyDescent="0.25">
      <c r="I739" s="199"/>
      <c r="J739" s="199"/>
    </row>
    <row r="740" spans="9:10" x14ac:dyDescent="0.25">
      <c r="I740" s="199"/>
      <c r="J740" s="199"/>
    </row>
    <row r="741" spans="9:10" x14ac:dyDescent="0.25">
      <c r="I741" s="199"/>
      <c r="J741" s="199"/>
    </row>
    <row r="742" spans="9:10" x14ac:dyDescent="0.25">
      <c r="I742" s="199"/>
      <c r="J742" s="199"/>
    </row>
    <row r="743" spans="9:10" x14ac:dyDescent="0.25">
      <c r="I743" s="199"/>
      <c r="J743" s="199"/>
    </row>
    <row r="744" spans="9:10" x14ac:dyDescent="0.25">
      <c r="I744" s="199"/>
      <c r="J744" s="199"/>
    </row>
    <row r="745" spans="9:10" x14ac:dyDescent="0.25">
      <c r="I745" s="199"/>
      <c r="J745" s="199"/>
    </row>
    <row r="746" spans="9:10" x14ac:dyDescent="0.25">
      <c r="I746" s="199"/>
      <c r="J746" s="199"/>
    </row>
    <row r="747" spans="9:10" x14ac:dyDescent="0.25">
      <c r="I747" s="199"/>
      <c r="J747" s="199"/>
    </row>
    <row r="748" spans="9:10" x14ac:dyDescent="0.25">
      <c r="I748" s="199"/>
      <c r="J748" s="199"/>
    </row>
    <row r="749" spans="9:10" x14ac:dyDescent="0.25">
      <c r="I749" s="199"/>
      <c r="J749" s="199"/>
    </row>
    <row r="750" spans="9:10" x14ac:dyDescent="0.25">
      <c r="I750" s="199"/>
      <c r="J750" s="199"/>
    </row>
    <row r="751" spans="9:10" x14ac:dyDescent="0.25">
      <c r="I751" s="199"/>
      <c r="J751" s="199"/>
    </row>
    <row r="752" spans="9:10" x14ac:dyDescent="0.25">
      <c r="I752" s="199"/>
      <c r="J752" s="199"/>
    </row>
    <row r="753" spans="9:10" x14ac:dyDescent="0.25">
      <c r="I753" s="199"/>
      <c r="J753" s="199"/>
    </row>
    <row r="754" spans="9:10" x14ac:dyDescent="0.25">
      <c r="I754" s="199"/>
      <c r="J754" s="199"/>
    </row>
    <row r="755" spans="9:10" x14ac:dyDescent="0.25">
      <c r="I755" s="199"/>
      <c r="J755" s="199"/>
    </row>
    <row r="756" spans="9:10" x14ac:dyDescent="0.25">
      <c r="I756" s="199"/>
      <c r="J756" s="199"/>
    </row>
    <row r="757" spans="9:10" x14ac:dyDescent="0.25">
      <c r="I757" s="199"/>
      <c r="J757" s="199"/>
    </row>
    <row r="758" spans="9:10" x14ac:dyDescent="0.25">
      <c r="I758" s="199"/>
      <c r="J758" s="199"/>
    </row>
    <row r="759" spans="9:10" x14ac:dyDescent="0.25">
      <c r="I759" s="199"/>
      <c r="J759" s="199"/>
    </row>
    <row r="760" spans="9:10" x14ac:dyDescent="0.25">
      <c r="I760" s="199"/>
      <c r="J760" s="199"/>
    </row>
    <row r="761" spans="9:10" x14ac:dyDescent="0.25">
      <c r="I761" s="199"/>
      <c r="J761" s="199"/>
    </row>
    <row r="762" spans="9:10" x14ac:dyDescent="0.25">
      <c r="I762" s="199"/>
      <c r="J762" s="199"/>
    </row>
    <row r="763" spans="9:10" x14ac:dyDescent="0.25">
      <c r="I763" s="199"/>
      <c r="J763" s="199"/>
    </row>
    <row r="764" spans="9:10" x14ac:dyDescent="0.25">
      <c r="I764" s="199"/>
      <c r="J764" s="199"/>
    </row>
    <row r="765" spans="9:10" x14ac:dyDescent="0.25">
      <c r="I765" s="199"/>
      <c r="J765" s="199"/>
    </row>
    <row r="766" spans="9:10" x14ac:dyDescent="0.25">
      <c r="I766" s="199"/>
      <c r="J766" s="199"/>
    </row>
    <row r="767" spans="9:10" x14ac:dyDescent="0.25">
      <c r="I767" s="199"/>
      <c r="J767" s="199"/>
    </row>
    <row r="768" spans="9:10" x14ac:dyDescent="0.25">
      <c r="I768" s="199"/>
      <c r="J768" s="199"/>
    </row>
    <row r="769" spans="9:10" x14ac:dyDescent="0.25">
      <c r="I769" s="199"/>
      <c r="J769" s="199"/>
    </row>
    <row r="770" spans="9:10" x14ac:dyDescent="0.25">
      <c r="I770" s="199"/>
      <c r="J770" s="199"/>
    </row>
    <row r="771" spans="9:10" x14ac:dyDescent="0.25">
      <c r="I771" s="199"/>
      <c r="J771" s="199"/>
    </row>
    <row r="772" spans="9:10" x14ac:dyDescent="0.25">
      <c r="I772" s="199"/>
      <c r="J772" s="199"/>
    </row>
    <row r="773" spans="9:10" x14ac:dyDescent="0.25">
      <c r="I773" s="199"/>
      <c r="J773" s="199"/>
    </row>
    <row r="774" spans="9:10" x14ac:dyDescent="0.25">
      <c r="I774" s="199"/>
      <c r="J774" s="199"/>
    </row>
    <row r="775" spans="9:10" x14ac:dyDescent="0.25">
      <c r="I775" s="199"/>
      <c r="J775" s="199"/>
    </row>
    <row r="776" spans="9:10" x14ac:dyDescent="0.25">
      <c r="I776" s="199"/>
      <c r="J776" s="199"/>
    </row>
    <row r="777" spans="9:10" x14ac:dyDescent="0.25">
      <c r="I777" s="199"/>
      <c r="J777" s="199"/>
    </row>
    <row r="778" spans="9:10" x14ac:dyDescent="0.25">
      <c r="I778" s="199"/>
      <c r="J778" s="199"/>
    </row>
    <row r="779" spans="9:10" x14ac:dyDescent="0.25">
      <c r="I779" s="199"/>
      <c r="J779" s="199"/>
    </row>
    <row r="780" spans="9:10" x14ac:dyDescent="0.25">
      <c r="I780" s="199"/>
      <c r="J780" s="199"/>
    </row>
    <row r="781" spans="9:10" x14ac:dyDescent="0.25">
      <c r="I781" s="199"/>
      <c r="J781" s="199"/>
    </row>
    <row r="782" spans="9:10" x14ac:dyDescent="0.25">
      <c r="I782" s="199"/>
      <c r="J782" s="199"/>
    </row>
    <row r="783" spans="9:10" x14ac:dyDescent="0.25">
      <c r="I783" s="199"/>
      <c r="J783" s="199"/>
    </row>
    <row r="784" spans="9:10" x14ac:dyDescent="0.25">
      <c r="I784" s="199"/>
      <c r="J784" s="199"/>
    </row>
    <row r="785" spans="9:10" x14ac:dyDescent="0.25">
      <c r="I785" s="199"/>
      <c r="J785" s="199"/>
    </row>
    <row r="786" spans="9:10" x14ac:dyDescent="0.25">
      <c r="I786" s="199"/>
      <c r="J786" s="199"/>
    </row>
    <row r="787" spans="9:10" x14ac:dyDescent="0.25">
      <c r="I787" s="199"/>
      <c r="J787" s="199"/>
    </row>
    <row r="788" spans="9:10" x14ac:dyDescent="0.25">
      <c r="I788" s="199"/>
      <c r="J788" s="199"/>
    </row>
    <row r="789" spans="9:10" x14ac:dyDescent="0.25">
      <c r="I789" s="199"/>
      <c r="J789" s="199"/>
    </row>
    <row r="790" spans="9:10" x14ac:dyDescent="0.25">
      <c r="I790" s="199"/>
      <c r="J790" s="199"/>
    </row>
    <row r="791" spans="9:10" x14ac:dyDescent="0.25">
      <c r="I791" s="199"/>
      <c r="J791" s="199"/>
    </row>
    <row r="792" spans="9:10" x14ac:dyDescent="0.25">
      <c r="I792" s="199"/>
      <c r="J792" s="199"/>
    </row>
    <row r="793" spans="9:10" x14ac:dyDescent="0.25">
      <c r="I793" s="199"/>
      <c r="J793" s="199"/>
    </row>
    <row r="794" spans="9:10" x14ac:dyDescent="0.25">
      <c r="I794" s="199"/>
      <c r="J794" s="199"/>
    </row>
    <row r="795" spans="9:10" x14ac:dyDescent="0.25">
      <c r="I795" s="199"/>
      <c r="J795" s="199"/>
    </row>
    <row r="796" spans="9:10" x14ac:dyDescent="0.25">
      <c r="I796" s="199"/>
      <c r="J796" s="199"/>
    </row>
    <row r="797" spans="9:10" x14ac:dyDescent="0.25">
      <c r="I797" s="199"/>
      <c r="J797" s="199"/>
    </row>
    <row r="798" spans="9:10" x14ac:dyDescent="0.25">
      <c r="I798" s="199"/>
      <c r="J798" s="199"/>
    </row>
    <row r="799" spans="9:10" x14ac:dyDescent="0.25">
      <c r="I799" s="199"/>
      <c r="J799" s="199"/>
    </row>
    <row r="800" spans="9:10" x14ac:dyDescent="0.25">
      <c r="I800" s="199"/>
      <c r="J800" s="199"/>
    </row>
    <row r="801" spans="9:10" x14ac:dyDescent="0.25">
      <c r="I801" s="199"/>
      <c r="J801" s="199"/>
    </row>
    <row r="802" spans="9:10" x14ac:dyDescent="0.25">
      <c r="I802" s="199"/>
      <c r="J802" s="199"/>
    </row>
    <row r="803" spans="9:10" x14ac:dyDescent="0.25">
      <c r="I803" s="199"/>
      <c r="J803" s="199"/>
    </row>
    <row r="804" spans="9:10" x14ac:dyDescent="0.25">
      <c r="I804" s="199"/>
      <c r="J804" s="199"/>
    </row>
    <row r="805" spans="9:10" x14ac:dyDescent="0.25">
      <c r="I805" s="199"/>
      <c r="J805" s="199"/>
    </row>
    <row r="806" spans="9:10" x14ac:dyDescent="0.25">
      <c r="I806" s="199"/>
      <c r="J806" s="199"/>
    </row>
    <row r="807" spans="9:10" x14ac:dyDescent="0.25">
      <c r="I807" s="199"/>
      <c r="J807" s="199"/>
    </row>
    <row r="808" spans="9:10" x14ac:dyDescent="0.25">
      <c r="I808" s="199"/>
      <c r="J808" s="199"/>
    </row>
    <row r="809" spans="9:10" x14ac:dyDescent="0.25">
      <c r="I809" s="199"/>
      <c r="J809" s="199"/>
    </row>
    <row r="810" spans="9:10" x14ac:dyDescent="0.25">
      <c r="I810" s="199"/>
      <c r="J810" s="199"/>
    </row>
    <row r="811" spans="9:10" x14ac:dyDescent="0.25">
      <c r="I811" s="199"/>
      <c r="J811" s="199"/>
    </row>
    <row r="812" spans="9:10" x14ac:dyDescent="0.25">
      <c r="I812" s="199"/>
      <c r="J812" s="199"/>
    </row>
    <row r="813" spans="9:10" x14ac:dyDescent="0.25">
      <c r="I813" s="199"/>
      <c r="J813" s="199"/>
    </row>
    <row r="814" spans="9:10" x14ac:dyDescent="0.25">
      <c r="I814" s="199"/>
      <c r="J814" s="199"/>
    </row>
    <row r="815" spans="9:10" x14ac:dyDescent="0.25">
      <c r="I815" s="199"/>
      <c r="J815" s="199"/>
    </row>
    <row r="816" spans="9:10" x14ac:dyDescent="0.25">
      <c r="I816" s="199"/>
      <c r="J816" s="199"/>
    </row>
    <row r="817" spans="9:10" x14ac:dyDescent="0.25">
      <c r="I817" s="199"/>
      <c r="J817" s="199"/>
    </row>
    <row r="818" spans="9:10" x14ac:dyDescent="0.25">
      <c r="I818" s="199"/>
      <c r="J818" s="199"/>
    </row>
    <row r="819" spans="9:10" x14ac:dyDescent="0.25">
      <c r="I819" s="199"/>
      <c r="J819" s="199"/>
    </row>
    <row r="820" spans="9:10" x14ac:dyDescent="0.25">
      <c r="I820" s="199"/>
      <c r="J820" s="199"/>
    </row>
    <row r="821" spans="9:10" x14ac:dyDescent="0.25">
      <c r="I821" s="199"/>
      <c r="J821" s="199"/>
    </row>
    <row r="822" spans="9:10" x14ac:dyDescent="0.25">
      <c r="I822" s="199"/>
      <c r="J822" s="199"/>
    </row>
    <row r="823" spans="9:10" x14ac:dyDescent="0.25">
      <c r="I823" s="199"/>
      <c r="J823" s="199"/>
    </row>
    <row r="824" spans="9:10" x14ac:dyDescent="0.25">
      <c r="I824" s="199"/>
      <c r="J824" s="199"/>
    </row>
    <row r="825" spans="9:10" x14ac:dyDescent="0.25">
      <c r="I825" s="199"/>
      <c r="J825" s="199"/>
    </row>
    <row r="826" spans="9:10" x14ac:dyDescent="0.25">
      <c r="I826" s="199"/>
      <c r="J826" s="199"/>
    </row>
    <row r="827" spans="9:10" x14ac:dyDescent="0.25">
      <c r="I827" s="199"/>
      <c r="J827" s="199"/>
    </row>
    <row r="828" spans="9:10" x14ac:dyDescent="0.25">
      <c r="I828" s="199"/>
      <c r="J828" s="199"/>
    </row>
    <row r="829" spans="9:10" x14ac:dyDescent="0.25">
      <c r="I829" s="199"/>
      <c r="J829" s="199"/>
    </row>
    <row r="830" spans="9:10" x14ac:dyDescent="0.25">
      <c r="I830" s="199"/>
      <c r="J830" s="199"/>
    </row>
    <row r="831" spans="9:10" x14ac:dyDescent="0.25">
      <c r="I831" s="199"/>
      <c r="J831" s="199"/>
    </row>
    <row r="832" spans="9:10" x14ac:dyDescent="0.25">
      <c r="I832" s="199"/>
      <c r="J832" s="199"/>
    </row>
    <row r="833" spans="9:10" x14ac:dyDescent="0.25">
      <c r="I833" s="199"/>
      <c r="J833" s="199"/>
    </row>
    <row r="834" spans="9:10" x14ac:dyDescent="0.25">
      <c r="I834" s="199"/>
      <c r="J834" s="199"/>
    </row>
    <row r="835" spans="9:10" x14ac:dyDescent="0.25">
      <c r="I835" s="199"/>
      <c r="J835" s="199"/>
    </row>
    <row r="836" spans="9:10" x14ac:dyDescent="0.25">
      <c r="I836" s="199"/>
      <c r="J836" s="199"/>
    </row>
    <row r="837" spans="9:10" x14ac:dyDescent="0.25">
      <c r="I837" s="199"/>
      <c r="J837" s="199"/>
    </row>
    <row r="838" spans="9:10" x14ac:dyDescent="0.25">
      <c r="I838" s="199"/>
      <c r="J838" s="199"/>
    </row>
    <row r="839" spans="9:10" x14ac:dyDescent="0.25">
      <c r="I839" s="199"/>
      <c r="J839" s="199"/>
    </row>
    <row r="840" spans="9:10" x14ac:dyDescent="0.25">
      <c r="I840" s="199"/>
      <c r="J840" s="199"/>
    </row>
    <row r="841" spans="9:10" x14ac:dyDescent="0.25">
      <c r="I841" s="199"/>
      <c r="J841" s="199"/>
    </row>
    <row r="842" spans="9:10" x14ac:dyDescent="0.25">
      <c r="I842" s="199"/>
      <c r="J842" s="199"/>
    </row>
    <row r="843" spans="9:10" x14ac:dyDescent="0.25">
      <c r="I843" s="199"/>
      <c r="J843" s="199"/>
    </row>
    <row r="844" spans="9:10" x14ac:dyDescent="0.25">
      <c r="I844" s="199"/>
      <c r="J844" s="199"/>
    </row>
    <row r="845" spans="9:10" x14ac:dyDescent="0.25">
      <c r="I845" s="199"/>
      <c r="J845" s="199"/>
    </row>
    <row r="846" spans="9:10" x14ac:dyDescent="0.25">
      <c r="I846" s="199"/>
      <c r="J846" s="199"/>
    </row>
    <row r="847" spans="9:10" x14ac:dyDescent="0.25">
      <c r="I847" s="199"/>
      <c r="J847" s="199"/>
    </row>
    <row r="848" spans="9:10" x14ac:dyDescent="0.25">
      <c r="I848" s="199"/>
      <c r="J848" s="199"/>
    </row>
    <row r="849" spans="9:10" x14ac:dyDescent="0.25">
      <c r="I849" s="199"/>
      <c r="J849" s="199"/>
    </row>
    <row r="850" spans="9:10" x14ac:dyDescent="0.25">
      <c r="I850" s="199"/>
      <c r="J850" s="199"/>
    </row>
    <row r="851" spans="9:10" x14ac:dyDescent="0.25">
      <c r="I851" s="199"/>
      <c r="J851" s="199"/>
    </row>
    <row r="852" spans="9:10" x14ac:dyDescent="0.25">
      <c r="I852" s="199"/>
      <c r="J852" s="199"/>
    </row>
    <row r="853" spans="9:10" x14ac:dyDescent="0.25">
      <c r="I853" s="199"/>
      <c r="J853" s="199"/>
    </row>
    <row r="854" spans="9:10" x14ac:dyDescent="0.25">
      <c r="I854" s="199"/>
      <c r="J854" s="199"/>
    </row>
    <row r="855" spans="9:10" x14ac:dyDescent="0.25">
      <c r="I855" s="199"/>
      <c r="J855" s="199"/>
    </row>
    <row r="856" spans="9:10" x14ac:dyDescent="0.25">
      <c r="I856" s="199"/>
      <c r="J856" s="199"/>
    </row>
    <row r="857" spans="9:10" x14ac:dyDescent="0.25">
      <c r="I857" s="199"/>
      <c r="J857" s="199"/>
    </row>
    <row r="858" spans="9:10" x14ac:dyDescent="0.25">
      <c r="I858" s="199"/>
      <c r="J858" s="199"/>
    </row>
    <row r="859" spans="9:10" x14ac:dyDescent="0.25">
      <c r="I859" s="199"/>
      <c r="J859" s="199"/>
    </row>
    <row r="860" spans="9:10" x14ac:dyDescent="0.25">
      <c r="I860" s="199"/>
      <c r="J860" s="199"/>
    </row>
    <row r="861" spans="9:10" x14ac:dyDescent="0.25">
      <c r="I861" s="199"/>
      <c r="J861" s="199"/>
    </row>
    <row r="862" spans="9:10" x14ac:dyDescent="0.25">
      <c r="I862" s="199"/>
      <c r="J862" s="199"/>
    </row>
    <row r="863" spans="9:10" x14ac:dyDescent="0.25">
      <c r="I863" s="199"/>
      <c r="J863" s="199"/>
    </row>
    <row r="864" spans="9:10" x14ac:dyDescent="0.25">
      <c r="I864" s="199"/>
      <c r="J864" s="199"/>
    </row>
    <row r="865" spans="9:10" x14ac:dyDescent="0.25">
      <c r="I865" s="199"/>
      <c r="J865" s="199"/>
    </row>
    <row r="866" spans="9:10" x14ac:dyDescent="0.25">
      <c r="I866" s="199"/>
      <c r="J866" s="199"/>
    </row>
    <row r="867" spans="9:10" x14ac:dyDescent="0.25">
      <c r="I867" s="199"/>
      <c r="J867" s="199"/>
    </row>
    <row r="868" spans="9:10" x14ac:dyDescent="0.25">
      <c r="I868" s="199"/>
      <c r="J868" s="199"/>
    </row>
    <row r="869" spans="9:10" x14ac:dyDescent="0.25">
      <c r="I869" s="199"/>
      <c r="J869" s="199"/>
    </row>
    <row r="870" spans="9:10" x14ac:dyDescent="0.25">
      <c r="I870" s="199"/>
      <c r="J870" s="199"/>
    </row>
    <row r="871" spans="9:10" x14ac:dyDescent="0.25">
      <c r="I871" s="199"/>
      <c r="J871" s="199"/>
    </row>
    <row r="872" spans="9:10" x14ac:dyDescent="0.25">
      <c r="I872" s="199"/>
      <c r="J872" s="199"/>
    </row>
    <row r="873" spans="9:10" x14ac:dyDescent="0.25">
      <c r="I873" s="199"/>
      <c r="J873" s="199"/>
    </row>
    <row r="874" spans="9:10" x14ac:dyDescent="0.25">
      <c r="I874" s="199"/>
      <c r="J874" s="199"/>
    </row>
    <row r="875" spans="9:10" x14ac:dyDescent="0.25">
      <c r="I875" s="199"/>
      <c r="J875" s="199"/>
    </row>
    <row r="876" spans="9:10" x14ac:dyDescent="0.25">
      <c r="I876" s="199"/>
      <c r="J876" s="199"/>
    </row>
    <row r="877" spans="9:10" x14ac:dyDescent="0.25">
      <c r="I877" s="199"/>
      <c r="J877" s="199"/>
    </row>
    <row r="878" spans="9:10" x14ac:dyDescent="0.25">
      <c r="I878" s="199"/>
      <c r="J878" s="199"/>
    </row>
    <row r="879" spans="9:10" x14ac:dyDescent="0.25">
      <c r="I879" s="199"/>
      <c r="J879" s="199"/>
    </row>
    <row r="880" spans="9:10" x14ac:dyDescent="0.25">
      <c r="I880" s="199"/>
      <c r="J880" s="199"/>
    </row>
    <row r="881" spans="9:10" x14ac:dyDescent="0.25">
      <c r="I881" s="199"/>
      <c r="J881" s="199"/>
    </row>
    <row r="882" spans="9:10" x14ac:dyDescent="0.25">
      <c r="I882" s="199"/>
      <c r="J882" s="199"/>
    </row>
    <row r="883" spans="9:10" x14ac:dyDescent="0.25">
      <c r="I883" s="199"/>
      <c r="J883" s="199"/>
    </row>
    <row r="884" spans="9:10" x14ac:dyDescent="0.25">
      <c r="I884" s="199"/>
      <c r="J884" s="199"/>
    </row>
    <row r="885" spans="9:10" x14ac:dyDescent="0.25">
      <c r="I885" s="199"/>
      <c r="J885" s="199"/>
    </row>
    <row r="886" spans="9:10" x14ac:dyDescent="0.25">
      <c r="I886" s="199"/>
      <c r="J886" s="199"/>
    </row>
    <row r="887" spans="9:10" x14ac:dyDescent="0.25">
      <c r="I887" s="199"/>
      <c r="J887" s="199"/>
    </row>
    <row r="888" spans="9:10" x14ac:dyDescent="0.25">
      <c r="I888" s="199"/>
      <c r="J888" s="199"/>
    </row>
    <row r="889" spans="9:10" x14ac:dyDescent="0.25">
      <c r="I889" s="199"/>
      <c r="J889" s="199"/>
    </row>
    <row r="890" spans="9:10" x14ac:dyDescent="0.25">
      <c r="I890" s="199"/>
      <c r="J890" s="199"/>
    </row>
    <row r="891" spans="9:10" x14ac:dyDescent="0.25">
      <c r="I891" s="199"/>
      <c r="J891" s="199"/>
    </row>
    <row r="892" spans="9:10" x14ac:dyDescent="0.25">
      <c r="I892" s="199"/>
      <c r="J892" s="199"/>
    </row>
    <row r="893" spans="9:10" x14ac:dyDescent="0.25">
      <c r="I893" s="199"/>
      <c r="J893" s="199"/>
    </row>
    <row r="894" spans="9:10" x14ac:dyDescent="0.25">
      <c r="I894" s="199"/>
      <c r="J894" s="199"/>
    </row>
    <row r="895" spans="9:10" x14ac:dyDescent="0.25">
      <c r="I895" s="199"/>
      <c r="J895" s="199"/>
    </row>
    <row r="896" spans="9:10" x14ac:dyDescent="0.25">
      <c r="I896" s="199"/>
      <c r="J896" s="199"/>
    </row>
    <row r="897" spans="9:10" x14ac:dyDescent="0.25">
      <c r="I897" s="199"/>
      <c r="J897" s="199"/>
    </row>
    <row r="898" spans="9:10" x14ac:dyDescent="0.25">
      <c r="I898" s="199"/>
      <c r="J898" s="199"/>
    </row>
    <row r="899" spans="9:10" x14ac:dyDescent="0.25">
      <c r="I899" s="199"/>
      <c r="J899" s="199"/>
    </row>
    <row r="900" spans="9:10" x14ac:dyDescent="0.25">
      <c r="I900" s="199"/>
      <c r="J900" s="199"/>
    </row>
    <row r="901" spans="9:10" x14ac:dyDescent="0.25">
      <c r="I901" s="199"/>
      <c r="J901" s="199"/>
    </row>
    <row r="902" spans="9:10" x14ac:dyDescent="0.25">
      <c r="I902" s="199"/>
      <c r="J902" s="199"/>
    </row>
    <row r="903" spans="9:10" x14ac:dyDescent="0.25">
      <c r="I903" s="199"/>
      <c r="J903" s="199"/>
    </row>
    <row r="904" spans="9:10" x14ac:dyDescent="0.25">
      <c r="I904" s="199"/>
      <c r="J904" s="199"/>
    </row>
    <row r="905" spans="9:10" x14ac:dyDescent="0.25">
      <c r="I905" s="199"/>
      <c r="J905" s="199"/>
    </row>
    <row r="906" spans="9:10" x14ac:dyDescent="0.25">
      <c r="I906" s="199"/>
      <c r="J906" s="199"/>
    </row>
    <row r="907" spans="9:10" x14ac:dyDescent="0.25">
      <c r="I907" s="199"/>
      <c r="J907" s="199"/>
    </row>
    <row r="908" spans="9:10" x14ac:dyDescent="0.25">
      <c r="I908" s="199"/>
      <c r="J908" s="199"/>
    </row>
    <row r="909" spans="9:10" x14ac:dyDescent="0.25">
      <c r="I909" s="199"/>
      <c r="J909" s="199"/>
    </row>
    <row r="910" spans="9:10" x14ac:dyDescent="0.25">
      <c r="I910" s="199"/>
      <c r="J910" s="199"/>
    </row>
    <row r="911" spans="9:10" x14ac:dyDescent="0.25">
      <c r="I911" s="199"/>
      <c r="J911" s="199"/>
    </row>
    <row r="912" spans="9:10" x14ac:dyDescent="0.25">
      <c r="I912" s="199"/>
      <c r="J912" s="199"/>
    </row>
    <row r="913" spans="9:10" x14ac:dyDescent="0.25">
      <c r="I913" s="199"/>
      <c r="J913" s="199"/>
    </row>
    <row r="914" spans="9:10" x14ac:dyDescent="0.25">
      <c r="I914" s="199"/>
      <c r="J914" s="199"/>
    </row>
    <row r="915" spans="9:10" x14ac:dyDescent="0.25">
      <c r="I915" s="199"/>
      <c r="J915" s="199"/>
    </row>
    <row r="916" spans="9:10" x14ac:dyDescent="0.25">
      <c r="I916" s="199"/>
      <c r="J916" s="199"/>
    </row>
    <row r="917" spans="9:10" x14ac:dyDescent="0.25">
      <c r="I917" s="199"/>
      <c r="J917" s="199"/>
    </row>
    <row r="918" spans="9:10" x14ac:dyDescent="0.25">
      <c r="I918" s="199"/>
      <c r="J918" s="199"/>
    </row>
    <row r="919" spans="9:10" x14ac:dyDescent="0.25">
      <c r="I919" s="199"/>
      <c r="J919" s="199"/>
    </row>
    <row r="920" spans="9:10" x14ac:dyDescent="0.25">
      <c r="I920" s="199"/>
      <c r="J920" s="199"/>
    </row>
    <row r="921" spans="9:10" x14ac:dyDescent="0.25">
      <c r="I921" s="199"/>
      <c r="J921" s="199"/>
    </row>
    <row r="922" spans="9:10" x14ac:dyDescent="0.25">
      <c r="I922" s="199"/>
      <c r="J922" s="199"/>
    </row>
    <row r="923" spans="9:10" x14ac:dyDescent="0.25">
      <c r="I923" s="199"/>
      <c r="J923" s="199"/>
    </row>
    <row r="924" spans="9:10" x14ac:dyDescent="0.25">
      <c r="I924" s="199"/>
      <c r="J924" s="199"/>
    </row>
    <row r="925" spans="9:10" x14ac:dyDescent="0.25">
      <c r="I925" s="199"/>
      <c r="J925" s="199"/>
    </row>
    <row r="926" spans="9:10" x14ac:dyDescent="0.25">
      <c r="I926" s="199"/>
      <c r="J926" s="199"/>
    </row>
    <row r="927" spans="9:10" x14ac:dyDescent="0.25">
      <c r="I927" s="199"/>
      <c r="J927" s="199"/>
    </row>
    <row r="928" spans="9:10" x14ac:dyDescent="0.25">
      <c r="I928" s="199"/>
      <c r="J928" s="199"/>
    </row>
    <row r="929" spans="9:10" x14ac:dyDescent="0.25">
      <c r="I929" s="199"/>
      <c r="J929" s="199"/>
    </row>
    <row r="930" spans="9:10" x14ac:dyDescent="0.25">
      <c r="I930" s="199"/>
      <c r="J930" s="199"/>
    </row>
    <row r="931" spans="9:10" x14ac:dyDescent="0.25">
      <c r="I931" s="199"/>
      <c r="J931" s="199"/>
    </row>
    <row r="932" spans="9:10" x14ac:dyDescent="0.25">
      <c r="I932" s="199"/>
      <c r="J932" s="199"/>
    </row>
    <row r="933" spans="9:10" x14ac:dyDescent="0.25">
      <c r="I933" s="199"/>
      <c r="J933" s="199"/>
    </row>
    <row r="934" spans="9:10" x14ac:dyDescent="0.25">
      <c r="I934" s="199"/>
      <c r="J934" s="199"/>
    </row>
    <row r="935" spans="9:10" x14ac:dyDescent="0.25">
      <c r="I935" s="199"/>
      <c r="J935" s="199"/>
    </row>
    <row r="936" spans="9:10" x14ac:dyDescent="0.25">
      <c r="I936" s="199"/>
      <c r="J936" s="199"/>
    </row>
    <row r="937" spans="9:10" x14ac:dyDescent="0.25">
      <c r="I937" s="199"/>
      <c r="J937" s="199"/>
    </row>
    <row r="938" spans="9:10" x14ac:dyDescent="0.25">
      <c r="I938" s="199"/>
      <c r="J938" s="199"/>
    </row>
    <row r="939" spans="9:10" x14ac:dyDescent="0.25">
      <c r="I939" s="199"/>
      <c r="J939" s="199"/>
    </row>
    <row r="940" spans="9:10" x14ac:dyDescent="0.25">
      <c r="I940" s="199"/>
      <c r="J940" s="199"/>
    </row>
    <row r="941" spans="9:10" x14ac:dyDescent="0.25">
      <c r="I941" s="199"/>
      <c r="J941" s="199"/>
    </row>
    <row r="942" spans="9:10" x14ac:dyDescent="0.25">
      <c r="I942" s="199"/>
      <c r="J942" s="199"/>
    </row>
    <row r="943" spans="9:10" x14ac:dyDescent="0.25">
      <c r="I943" s="199"/>
      <c r="J943" s="199"/>
    </row>
    <row r="944" spans="9:10" x14ac:dyDescent="0.25">
      <c r="I944" s="199"/>
      <c r="J944" s="199"/>
    </row>
    <row r="945" spans="9:10" x14ac:dyDescent="0.25">
      <c r="I945" s="199"/>
      <c r="J945" s="199"/>
    </row>
    <row r="946" spans="9:10" x14ac:dyDescent="0.25">
      <c r="I946" s="199"/>
      <c r="J946" s="199"/>
    </row>
    <row r="947" spans="9:10" x14ac:dyDescent="0.25">
      <c r="I947" s="199"/>
      <c r="J947" s="199"/>
    </row>
    <row r="948" spans="9:10" x14ac:dyDescent="0.25">
      <c r="I948" s="199"/>
      <c r="J948" s="199"/>
    </row>
    <row r="949" spans="9:10" x14ac:dyDescent="0.25">
      <c r="I949" s="199"/>
      <c r="J949" s="199"/>
    </row>
    <row r="950" spans="9:10" x14ac:dyDescent="0.25">
      <c r="I950" s="199"/>
      <c r="J950" s="199"/>
    </row>
    <row r="951" spans="9:10" x14ac:dyDescent="0.25">
      <c r="I951" s="199"/>
      <c r="J951" s="199"/>
    </row>
    <row r="952" spans="9:10" x14ac:dyDescent="0.25">
      <c r="I952" s="199"/>
      <c r="J952" s="199"/>
    </row>
    <row r="953" spans="9:10" x14ac:dyDescent="0.25">
      <c r="I953" s="199"/>
      <c r="J953" s="199"/>
    </row>
    <row r="954" spans="9:10" x14ac:dyDescent="0.25">
      <c r="I954" s="199"/>
      <c r="J954" s="199"/>
    </row>
    <row r="955" spans="9:10" x14ac:dyDescent="0.25">
      <c r="I955" s="199"/>
      <c r="J955" s="199"/>
    </row>
    <row r="956" spans="9:10" x14ac:dyDescent="0.25">
      <c r="I956" s="199"/>
      <c r="J956" s="199"/>
    </row>
    <row r="957" spans="9:10" x14ac:dyDescent="0.25">
      <c r="I957" s="199"/>
      <c r="J957" s="199"/>
    </row>
    <row r="958" spans="9:10" x14ac:dyDescent="0.25">
      <c r="I958" s="199"/>
      <c r="J958" s="199"/>
    </row>
    <row r="959" spans="9:10" x14ac:dyDescent="0.25">
      <c r="I959" s="199"/>
      <c r="J959" s="199"/>
    </row>
    <row r="960" spans="9:10" x14ac:dyDescent="0.25">
      <c r="I960" s="199"/>
      <c r="J960" s="199"/>
    </row>
    <row r="961" spans="9:10" x14ac:dyDescent="0.25">
      <c r="I961" s="199"/>
      <c r="J961" s="199"/>
    </row>
    <row r="962" spans="9:10" x14ac:dyDescent="0.25">
      <c r="I962" s="199"/>
      <c r="J962" s="199"/>
    </row>
    <row r="963" spans="9:10" x14ac:dyDescent="0.25">
      <c r="I963" s="199"/>
      <c r="J963" s="199"/>
    </row>
    <row r="964" spans="9:10" x14ac:dyDescent="0.25">
      <c r="I964" s="199"/>
      <c r="J964" s="199"/>
    </row>
    <row r="965" spans="9:10" x14ac:dyDescent="0.25">
      <c r="I965" s="199"/>
      <c r="J965" s="199"/>
    </row>
    <row r="966" spans="9:10" x14ac:dyDescent="0.25">
      <c r="I966" s="199"/>
      <c r="J966" s="199"/>
    </row>
    <row r="967" spans="9:10" x14ac:dyDescent="0.25">
      <c r="I967" s="199"/>
      <c r="J967" s="199"/>
    </row>
    <row r="968" spans="9:10" x14ac:dyDescent="0.25">
      <c r="I968" s="199"/>
      <c r="J968" s="199"/>
    </row>
    <row r="969" spans="9:10" x14ac:dyDescent="0.25">
      <c r="I969" s="199"/>
      <c r="J969" s="199"/>
    </row>
    <row r="970" spans="9:10" x14ac:dyDescent="0.25">
      <c r="I970" s="199"/>
      <c r="J970" s="199"/>
    </row>
    <row r="971" spans="9:10" x14ac:dyDescent="0.25">
      <c r="I971" s="199"/>
      <c r="J971" s="199"/>
    </row>
    <row r="972" spans="9:10" x14ac:dyDescent="0.25">
      <c r="I972" s="199"/>
      <c r="J972" s="199"/>
    </row>
    <row r="973" spans="9:10" x14ac:dyDescent="0.25">
      <c r="I973" s="199"/>
      <c r="J973" s="199"/>
    </row>
    <row r="974" spans="9:10" x14ac:dyDescent="0.25">
      <c r="I974" s="199"/>
      <c r="J974" s="199"/>
    </row>
    <row r="975" spans="9:10" x14ac:dyDescent="0.25">
      <c r="I975" s="199"/>
      <c r="J975" s="199"/>
    </row>
    <row r="976" spans="9:10" x14ac:dyDescent="0.25">
      <c r="I976" s="199"/>
      <c r="J976" s="199"/>
    </row>
    <row r="977" spans="9:10" x14ac:dyDescent="0.25">
      <c r="I977" s="199"/>
      <c r="J977" s="199"/>
    </row>
    <row r="978" spans="9:10" x14ac:dyDescent="0.25">
      <c r="I978" s="199"/>
      <c r="J978" s="199"/>
    </row>
    <row r="979" spans="9:10" x14ac:dyDescent="0.25">
      <c r="I979" s="199"/>
      <c r="J979" s="199"/>
    </row>
    <row r="980" spans="9:10" x14ac:dyDescent="0.25">
      <c r="I980" s="199"/>
      <c r="J980" s="199"/>
    </row>
    <row r="981" spans="9:10" x14ac:dyDescent="0.25">
      <c r="I981" s="199"/>
      <c r="J981" s="199"/>
    </row>
    <row r="982" spans="9:10" x14ac:dyDescent="0.25">
      <c r="I982" s="199"/>
      <c r="J982" s="199"/>
    </row>
    <row r="983" spans="9:10" x14ac:dyDescent="0.25">
      <c r="I983" s="199"/>
      <c r="J983" s="199"/>
    </row>
    <row r="984" spans="9:10" x14ac:dyDescent="0.25">
      <c r="I984" s="199"/>
      <c r="J984" s="199"/>
    </row>
    <row r="985" spans="9:10" x14ac:dyDescent="0.25">
      <c r="I985" s="199"/>
      <c r="J985" s="199"/>
    </row>
    <row r="986" spans="9:10" x14ac:dyDescent="0.25">
      <c r="I986" s="199"/>
      <c r="J986" s="199"/>
    </row>
    <row r="987" spans="9:10" x14ac:dyDescent="0.25">
      <c r="I987" s="199"/>
      <c r="J987" s="199"/>
    </row>
    <row r="988" spans="9:10" x14ac:dyDescent="0.25">
      <c r="I988" s="199"/>
      <c r="J988" s="199"/>
    </row>
    <row r="989" spans="9:10" x14ac:dyDescent="0.25">
      <c r="I989" s="199"/>
      <c r="J989" s="199"/>
    </row>
    <row r="990" spans="9:10" x14ac:dyDescent="0.25">
      <c r="I990" s="199"/>
      <c r="J990" s="199"/>
    </row>
    <row r="991" spans="9:10" x14ac:dyDescent="0.25">
      <c r="I991" s="199"/>
      <c r="J991" s="199"/>
    </row>
    <row r="992" spans="9:10" x14ac:dyDescent="0.25">
      <c r="I992" s="199"/>
      <c r="J992" s="199"/>
    </row>
    <row r="993" spans="9:10" x14ac:dyDescent="0.25">
      <c r="I993" s="199"/>
      <c r="J993" s="199"/>
    </row>
    <row r="994" spans="9:10" x14ac:dyDescent="0.25">
      <c r="I994" s="199"/>
      <c r="J994" s="199"/>
    </row>
    <row r="995" spans="9:10" x14ac:dyDescent="0.25">
      <c r="I995" s="199"/>
      <c r="J995" s="199"/>
    </row>
    <row r="996" spans="9:10" x14ac:dyDescent="0.25">
      <c r="I996" s="199"/>
      <c r="J996" s="199"/>
    </row>
    <row r="997" spans="9:10" x14ac:dyDescent="0.25">
      <c r="I997" s="199"/>
      <c r="J997" s="199"/>
    </row>
    <row r="998" spans="9:10" x14ac:dyDescent="0.25">
      <c r="I998" s="199"/>
      <c r="J998" s="199"/>
    </row>
    <row r="999" spans="9:10" x14ac:dyDescent="0.25">
      <c r="I999" s="199"/>
      <c r="J999" s="199"/>
    </row>
    <row r="1000" spans="9:10" x14ac:dyDescent="0.25">
      <c r="I1000" s="199"/>
      <c r="J1000" s="199"/>
    </row>
    <row r="1001" spans="9:10" x14ac:dyDescent="0.25">
      <c r="I1001" s="199"/>
      <c r="J1001" s="199"/>
    </row>
    <row r="1002" spans="9:10" x14ac:dyDescent="0.25">
      <c r="I1002" s="199"/>
      <c r="J1002" s="199"/>
    </row>
    <row r="1003" spans="9:10" x14ac:dyDescent="0.25">
      <c r="I1003" s="199"/>
      <c r="J1003" s="199"/>
    </row>
    <row r="1004" spans="9:10" x14ac:dyDescent="0.25">
      <c r="I1004" s="199"/>
      <c r="J1004" s="199"/>
    </row>
    <row r="1005" spans="9:10" x14ac:dyDescent="0.25">
      <c r="I1005" s="199"/>
      <c r="J1005" s="199"/>
    </row>
    <row r="1006" spans="9:10" x14ac:dyDescent="0.25">
      <c r="I1006" s="199"/>
      <c r="J1006" s="199"/>
    </row>
    <row r="1007" spans="9:10" x14ac:dyDescent="0.25">
      <c r="I1007" s="199"/>
      <c r="J1007" s="199"/>
    </row>
    <row r="1008" spans="9:10" x14ac:dyDescent="0.25">
      <c r="I1008" s="199"/>
      <c r="J1008" s="199"/>
    </row>
    <row r="1009" spans="9:10" x14ac:dyDescent="0.25">
      <c r="I1009" s="199"/>
      <c r="J1009" s="199"/>
    </row>
    <row r="1010" spans="9:10" x14ac:dyDescent="0.25">
      <c r="I1010" s="199"/>
      <c r="J1010" s="199"/>
    </row>
    <row r="1011" spans="9:10" x14ac:dyDescent="0.25">
      <c r="I1011" s="199"/>
      <c r="J1011" s="199"/>
    </row>
    <row r="1012" spans="9:10" x14ac:dyDescent="0.25">
      <c r="I1012" s="199"/>
      <c r="J1012" s="199"/>
    </row>
    <row r="1013" spans="9:10" x14ac:dyDescent="0.25">
      <c r="I1013" s="199"/>
      <c r="J1013" s="199"/>
    </row>
    <row r="1014" spans="9:10" x14ac:dyDescent="0.25">
      <c r="I1014" s="199"/>
      <c r="J1014" s="199"/>
    </row>
    <row r="1015" spans="9:10" x14ac:dyDescent="0.25">
      <c r="I1015" s="199"/>
      <c r="J1015" s="199"/>
    </row>
    <row r="1016" spans="9:10" x14ac:dyDescent="0.25">
      <c r="I1016" s="199"/>
      <c r="J1016" s="199"/>
    </row>
    <row r="1017" spans="9:10" x14ac:dyDescent="0.25">
      <c r="I1017" s="199"/>
      <c r="J1017" s="199"/>
    </row>
    <row r="1018" spans="9:10" x14ac:dyDescent="0.25">
      <c r="I1018" s="199"/>
      <c r="J1018" s="199"/>
    </row>
    <row r="1019" spans="9:10" x14ac:dyDescent="0.25">
      <c r="I1019" s="199"/>
      <c r="J1019" s="199"/>
    </row>
    <row r="1020" spans="9:10" x14ac:dyDescent="0.25">
      <c r="I1020" s="199"/>
      <c r="J1020" s="199"/>
    </row>
    <row r="1021" spans="9:10" x14ac:dyDescent="0.25">
      <c r="I1021" s="199"/>
      <c r="J1021" s="199"/>
    </row>
    <row r="1022" spans="9:10" x14ac:dyDescent="0.25">
      <c r="I1022" s="199"/>
      <c r="J1022" s="199"/>
    </row>
    <row r="1023" spans="9:10" x14ac:dyDescent="0.25">
      <c r="I1023" s="199"/>
      <c r="J1023" s="199"/>
    </row>
    <row r="1024" spans="9:10" x14ac:dyDescent="0.25">
      <c r="I1024" s="199"/>
      <c r="J1024" s="199"/>
    </row>
    <row r="1025" spans="9:10" x14ac:dyDescent="0.25">
      <c r="I1025" s="199"/>
      <c r="J1025" s="199"/>
    </row>
    <row r="1026" spans="9:10" x14ac:dyDescent="0.25">
      <c r="I1026" s="199"/>
      <c r="J1026" s="199"/>
    </row>
    <row r="1027" spans="9:10" x14ac:dyDescent="0.25">
      <c r="I1027" s="199"/>
      <c r="J1027" s="199"/>
    </row>
    <row r="1028" spans="9:10" x14ac:dyDescent="0.25">
      <c r="I1028" s="199"/>
      <c r="J1028" s="199"/>
    </row>
    <row r="1029" spans="9:10" x14ac:dyDescent="0.25">
      <c r="I1029" s="199"/>
      <c r="J1029" s="199"/>
    </row>
    <row r="1030" spans="9:10" x14ac:dyDescent="0.25">
      <c r="I1030" s="199"/>
      <c r="J1030" s="199"/>
    </row>
    <row r="1031" spans="9:10" x14ac:dyDescent="0.25">
      <c r="I1031" s="199"/>
      <c r="J1031" s="199"/>
    </row>
    <row r="1032" spans="9:10" x14ac:dyDescent="0.25">
      <c r="I1032" s="199"/>
      <c r="J1032" s="199"/>
    </row>
    <row r="1033" spans="9:10" x14ac:dyDescent="0.25">
      <c r="I1033" s="199"/>
      <c r="J1033" s="199"/>
    </row>
    <row r="1034" spans="9:10" x14ac:dyDescent="0.25">
      <c r="I1034" s="199"/>
      <c r="J1034" s="199"/>
    </row>
    <row r="1035" spans="9:10" x14ac:dyDescent="0.25">
      <c r="I1035" s="199"/>
      <c r="J1035" s="199"/>
    </row>
    <row r="1036" spans="9:10" x14ac:dyDescent="0.25">
      <c r="I1036" s="199"/>
      <c r="J1036" s="199"/>
    </row>
    <row r="1037" spans="9:10" x14ac:dyDescent="0.25">
      <c r="I1037" s="199"/>
      <c r="J1037" s="199"/>
    </row>
    <row r="1038" spans="9:10" x14ac:dyDescent="0.25">
      <c r="I1038" s="199"/>
      <c r="J1038" s="199"/>
    </row>
    <row r="1039" spans="9:10" x14ac:dyDescent="0.25">
      <c r="I1039" s="199"/>
      <c r="J1039" s="199"/>
    </row>
    <row r="1040" spans="9:10" x14ac:dyDescent="0.25">
      <c r="I1040" s="199"/>
      <c r="J1040" s="199"/>
    </row>
    <row r="1041" spans="9:10" x14ac:dyDescent="0.25">
      <c r="I1041" s="199"/>
      <c r="J1041" s="199"/>
    </row>
    <row r="1042" spans="9:10" x14ac:dyDescent="0.25">
      <c r="I1042" s="199"/>
      <c r="J1042" s="199"/>
    </row>
    <row r="1043" spans="9:10" x14ac:dyDescent="0.25">
      <c r="I1043" s="199"/>
      <c r="J1043" s="199"/>
    </row>
    <row r="1044" spans="9:10" x14ac:dyDescent="0.25">
      <c r="I1044" s="199"/>
      <c r="J1044" s="199"/>
    </row>
    <row r="1045" spans="9:10" x14ac:dyDescent="0.25">
      <c r="I1045" s="199"/>
      <c r="J1045" s="199"/>
    </row>
    <row r="1046" spans="9:10" x14ac:dyDescent="0.25">
      <c r="I1046" s="199"/>
      <c r="J1046" s="199"/>
    </row>
    <row r="1047" spans="9:10" x14ac:dyDescent="0.25">
      <c r="I1047" s="199"/>
      <c r="J1047" s="199"/>
    </row>
    <row r="1048" spans="9:10" x14ac:dyDescent="0.25">
      <c r="I1048" s="199"/>
      <c r="J1048" s="199"/>
    </row>
    <row r="1049" spans="9:10" x14ac:dyDescent="0.25">
      <c r="I1049" s="199"/>
      <c r="J1049" s="199"/>
    </row>
    <row r="1050" spans="9:10" x14ac:dyDescent="0.25">
      <c r="I1050" s="199"/>
      <c r="J1050" s="199"/>
    </row>
    <row r="1051" spans="9:10" x14ac:dyDescent="0.25">
      <c r="I1051" s="199"/>
      <c r="J1051" s="199"/>
    </row>
    <row r="1052" spans="9:10" x14ac:dyDescent="0.25">
      <c r="I1052" s="199"/>
      <c r="J1052" s="199"/>
    </row>
    <row r="1053" spans="9:10" x14ac:dyDescent="0.25">
      <c r="I1053" s="199"/>
      <c r="J1053" s="199"/>
    </row>
    <row r="1054" spans="9:10" x14ac:dyDescent="0.25">
      <c r="I1054" s="199"/>
      <c r="J1054" s="199"/>
    </row>
    <row r="1055" spans="9:10" x14ac:dyDescent="0.25">
      <c r="I1055" s="199"/>
      <c r="J1055" s="199"/>
    </row>
    <row r="1056" spans="9:10" x14ac:dyDescent="0.25">
      <c r="I1056" s="199"/>
      <c r="J1056" s="199"/>
    </row>
    <row r="1057" spans="9:10" x14ac:dyDescent="0.25">
      <c r="I1057" s="199"/>
      <c r="J1057" s="199"/>
    </row>
    <row r="1058" spans="9:10" x14ac:dyDescent="0.25">
      <c r="I1058" s="199"/>
      <c r="J1058" s="199"/>
    </row>
    <row r="1059" spans="9:10" x14ac:dyDescent="0.25">
      <c r="I1059" s="199"/>
      <c r="J1059" s="199"/>
    </row>
    <row r="1060" spans="9:10" x14ac:dyDescent="0.25">
      <c r="I1060" s="199"/>
      <c r="J1060" s="199"/>
    </row>
    <row r="1061" spans="9:10" x14ac:dyDescent="0.25">
      <c r="I1061" s="199"/>
      <c r="J1061" s="199"/>
    </row>
    <row r="1062" spans="9:10" x14ac:dyDescent="0.25">
      <c r="I1062" s="199"/>
      <c r="J1062" s="199"/>
    </row>
    <row r="1063" spans="9:10" x14ac:dyDescent="0.25">
      <c r="I1063" s="199"/>
      <c r="J1063" s="199"/>
    </row>
    <row r="1064" spans="9:10" x14ac:dyDescent="0.25">
      <c r="I1064" s="199"/>
      <c r="J1064" s="199"/>
    </row>
    <row r="1065" spans="9:10" x14ac:dyDescent="0.25">
      <c r="I1065" s="199"/>
      <c r="J1065" s="199"/>
    </row>
    <row r="1066" spans="9:10" x14ac:dyDescent="0.25">
      <c r="I1066" s="199"/>
      <c r="J1066" s="199"/>
    </row>
    <row r="1067" spans="9:10" x14ac:dyDescent="0.25">
      <c r="I1067" s="199"/>
      <c r="J1067" s="199"/>
    </row>
    <row r="1068" spans="9:10" x14ac:dyDescent="0.25">
      <c r="I1068" s="199"/>
      <c r="J1068" s="199"/>
    </row>
    <row r="1069" spans="9:10" x14ac:dyDescent="0.25">
      <c r="I1069" s="199"/>
      <c r="J1069" s="199"/>
    </row>
    <row r="1070" spans="9:10" x14ac:dyDescent="0.25">
      <c r="I1070" s="199"/>
      <c r="J1070" s="199"/>
    </row>
    <row r="1071" spans="9:10" x14ac:dyDescent="0.25">
      <c r="I1071" s="199"/>
      <c r="J1071" s="199"/>
    </row>
    <row r="1072" spans="9:10" x14ac:dyDescent="0.25">
      <c r="I1072" s="199"/>
      <c r="J1072" s="199"/>
    </row>
    <row r="1073" spans="9:10" x14ac:dyDescent="0.25">
      <c r="I1073" s="199"/>
      <c r="J1073" s="199"/>
    </row>
    <row r="1074" spans="9:10" x14ac:dyDescent="0.25">
      <c r="I1074" s="199"/>
      <c r="J1074" s="199"/>
    </row>
    <row r="1075" spans="9:10" x14ac:dyDescent="0.25">
      <c r="I1075" s="199"/>
      <c r="J1075" s="199"/>
    </row>
    <row r="1076" spans="9:10" x14ac:dyDescent="0.25">
      <c r="I1076" s="199"/>
      <c r="J1076" s="199"/>
    </row>
    <row r="1077" spans="9:10" x14ac:dyDescent="0.25">
      <c r="I1077" s="199"/>
      <c r="J1077" s="199"/>
    </row>
    <row r="1078" spans="9:10" x14ac:dyDescent="0.25">
      <c r="I1078" s="199"/>
      <c r="J1078" s="199"/>
    </row>
    <row r="1079" spans="9:10" x14ac:dyDescent="0.25">
      <c r="I1079" s="199"/>
      <c r="J1079" s="199"/>
    </row>
    <row r="1080" spans="9:10" x14ac:dyDescent="0.25">
      <c r="I1080" s="199"/>
      <c r="J1080" s="199"/>
    </row>
    <row r="1081" spans="9:10" x14ac:dyDescent="0.25">
      <c r="I1081" s="199"/>
      <c r="J1081" s="199"/>
    </row>
    <row r="1082" spans="9:10" x14ac:dyDescent="0.25">
      <c r="I1082" s="199"/>
      <c r="J1082" s="199"/>
    </row>
    <row r="1083" spans="9:10" x14ac:dyDescent="0.25">
      <c r="I1083" s="199"/>
      <c r="J1083" s="199"/>
    </row>
    <row r="1084" spans="9:10" x14ac:dyDescent="0.25">
      <c r="I1084" s="199"/>
      <c r="J1084" s="199"/>
    </row>
    <row r="1085" spans="9:10" x14ac:dyDescent="0.25">
      <c r="I1085" s="199"/>
      <c r="J1085" s="199"/>
    </row>
    <row r="1086" spans="9:10" x14ac:dyDescent="0.25">
      <c r="I1086" s="199"/>
      <c r="J1086" s="199"/>
    </row>
    <row r="1087" spans="9:10" x14ac:dyDescent="0.25">
      <c r="I1087" s="199"/>
      <c r="J1087" s="199"/>
    </row>
    <row r="1088" spans="9:10" x14ac:dyDescent="0.25">
      <c r="I1088" s="199"/>
      <c r="J1088" s="199"/>
    </row>
    <row r="1089" spans="9:10" x14ac:dyDescent="0.25">
      <c r="I1089" s="199"/>
      <c r="J1089" s="199"/>
    </row>
    <row r="1090" spans="9:10" x14ac:dyDescent="0.25">
      <c r="I1090" s="199"/>
      <c r="J1090" s="199"/>
    </row>
    <row r="1091" spans="9:10" x14ac:dyDescent="0.25">
      <c r="I1091" s="199"/>
      <c r="J1091" s="199"/>
    </row>
    <row r="1092" spans="9:10" x14ac:dyDescent="0.25">
      <c r="I1092" s="199"/>
      <c r="J1092" s="199"/>
    </row>
    <row r="1093" spans="9:10" x14ac:dyDescent="0.25">
      <c r="I1093" s="199"/>
      <c r="J1093" s="199"/>
    </row>
    <row r="1094" spans="9:10" x14ac:dyDescent="0.25">
      <c r="I1094" s="199"/>
      <c r="J1094" s="199"/>
    </row>
    <row r="1095" spans="9:10" x14ac:dyDescent="0.25">
      <c r="I1095" s="199"/>
      <c r="J1095" s="199"/>
    </row>
    <row r="1096" spans="9:10" x14ac:dyDescent="0.25">
      <c r="I1096" s="199"/>
      <c r="J1096" s="199"/>
    </row>
    <row r="1097" spans="9:10" x14ac:dyDescent="0.25">
      <c r="I1097" s="199"/>
      <c r="J1097" s="199"/>
    </row>
    <row r="1098" spans="9:10" x14ac:dyDescent="0.25">
      <c r="I1098" s="199"/>
      <c r="J1098" s="199"/>
    </row>
    <row r="1099" spans="9:10" x14ac:dyDescent="0.25">
      <c r="I1099" s="199"/>
      <c r="J1099" s="199"/>
    </row>
    <row r="1100" spans="9:10" x14ac:dyDescent="0.25">
      <c r="I1100" s="199"/>
      <c r="J1100" s="199"/>
    </row>
    <row r="1101" spans="9:10" x14ac:dyDescent="0.25">
      <c r="I1101" s="199"/>
      <c r="J1101" s="199"/>
    </row>
    <row r="1102" spans="9:10" x14ac:dyDescent="0.25">
      <c r="I1102" s="199"/>
      <c r="J1102" s="199"/>
    </row>
    <row r="1103" spans="9:10" x14ac:dyDescent="0.25">
      <c r="I1103" s="199"/>
      <c r="J1103" s="199"/>
    </row>
    <row r="1104" spans="9:10" x14ac:dyDescent="0.25">
      <c r="I1104" s="199"/>
      <c r="J1104" s="199"/>
    </row>
    <row r="1105" spans="9:10" x14ac:dyDescent="0.25">
      <c r="I1105" s="199"/>
      <c r="J1105" s="199"/>
    </row>
    <row r="1106" spans="9:10" x14ac:dyDescent="0.25">
      <c r="I1106" s="199"/>
      <c r="J1106" s="199"/>
    </row>
    <row r="1107" spans="9:10" x14ac:dyDescent="0.25">
      <c r="I1107" s="199"/>
      <c r="J1107" s="199"/>
    </row>
    <row r="1108" spans="9:10" x14ac:dyDescent="0.25">
      <c r="I1108" s="199"/>
      <c r="J1108" s="199"/>
    </row>
    <row r="1109" spans="9:10" x14ac:dyDescent="0.25">
      <c r="I1109" s="199"/>
      <c r="J1109" s="199"/>
    </row>
    <row r="1110" spans="9:10" x14ac:dyDescent="0.25">
      <c r="I1110" s="199"/>
      <c r="J1110" s="199"/>
    </row>
    <row r="1111" spans="9:10" x14ac:dyDescent="0.25">
      <c r="I1111" s="199"/>
      <c r="J1111" s="199"/>
    </row>
    <row r="1112" spans="9:10" x14ac:dyDescent="0.25">
      <c r="I1112" s="199"/>
      <c r="J1112" s="199"/>
    </row>
    <row r="1113" spans="9:10" x14ac:dyDescent="0.25">
      <c r="I1113" s="199"/>
      <c r="J1113" s="199"/>
    </row>
    <row r="1114" spans="9:10" x14ac:dyDescent="0.25">
      <c r="I1114" s="199"/>
      <c r="J1114" s="199"/>
    </row>
    <row r="1115" spans="9:10" x14ac:dyDescent="0.25">
      <c r="I1115" s="199"/>
      <c r="J1115" s="199"/>
    </row>
    <row r="1116" spans="9:10" x14ac:dyDescent="0.25">
      <c r="I1116" s="199"/>
      <c r="J1116" s="199"/>
    </row>
    <row r="1117" spans="9:10" x14ac:dyDescent="0.25">
      <c r="I1117" s="199"/>
      <c r="J1117" s="199"/>
    </row>
    <row r="1118" spans="9:10" x14ac:dyDescent="0.25">
      <c r="I1118" s="199"/>
      <c r="J1118" s="199"/>
    </row>
    <row r="1119" spans="9:10" x14ac:dyDescent="0.25">
      <c r="I1119" s="199"/>
      <c r="J1119" s="199"/>
    </row>
    <row r="1120" spans="9:10" x14ac:dyDescent="0.25">
      <c r="I1120" s="199"/>
      <c r="J1120" s="199"/>
    </row>
    <row r="1121" spans="9:10" x14ac:dyDescent="0.25">
      <c r="I1121" s="199"/>
      <c r="J1121" s="199"/>
    </row>
    <row r="1122" spans="9:10" x14ac:dyDescent="0.25">
      <c r="I1122" s="199"/>
      <c r="J1122" s="199"/>
    </row>
    <row r="1123" spans="9:10" x14ac:dyDescent="0.25">
      <c r="I1123" s="199"/>
      <c r="J1123" s="199"/>
    </row>
    <row r="1124" spans="9:10" x14ac:dyDescent="0.25">
      <c r="I1124" s="199"/>
      <c r="J1124" s="199"/>
    </row>
    <row r="1125" spans="9:10" x14ac:dyDescent="0.25">
      <c r="I1125" s="199"/>
      <c r="J1125" s="199"/>
    </row>
    <row r="1126" spans="9:10" x14ac:dyDescent="0.25">
      <c r="I1126" s="199"/>
      <c r="J1126" s="199"/>
    </row>
    <row r="1127" spans="9:10" x14ac:dyDescent="0.25">
      <c r="I1127" s="199"/>
      <c r="J1127" s="199"/>
    </row>
    <row r="1128" spans="9:10" x14ac:dyDescent="0.25">
      <c r="I1128" s="199"/>
      <c r="J1128" s="199"/>
    </row>
    <row r="1129" spans="9:10" x14ac:dyDescent="0.25">
      <c r="I1129" s="199"/>
      <c r="J1129" s="199"/>
    </row>
    <row r="1130" spans="9:10" x14ac:dyDescent="0.25">
      <c r="I1130" s="199"/>
      <c r="J1130" s="199"/>
    </row>
    <row r="1131" spans="9:10" x14ac:dyDescent="0.25">
      <c r="I1131" s="199"/>
      <c r="J1131" s="199"/>
    </row>
    <row r="1132" spans="9:10" x14ac:dyDescent="0.25">
      <c r="I1132" s="199"/>
      <c r="J1132" s="199"/>
    </row>
    <row r="1133" spans="9:10" x14ac:dyDescent="0.25">
      <c r="I1133" s="199"/>
      <c r="J1133" s="199"/>
    </row>
    <row r="1134" spans="9:10" x14ac:dyDescent="0.25">
      <c r="I1134" s="199"/>
      <c r="J1134" s="199"/>
    </row>
    <row r="1135" spans="9:10" x14ac:dyDescent="0.25">
      <c r="I1135" s="199"/>
      <c r="J1135" s="199"/>
    </row>
    <row r="1136" spans="9:10" x14ac:dyDescent="0.25">
      <c r="I1136" s="199"/>
      <c r="J1136" s="199"/>
    </row>
    <row r="1137" spans="9:10" x14ac:dyDescent="0.25">
      <c r="I1137" s="199"/>
      <c r="J1137" s="199"/>
    </row>
    <row r="1138" spans="9:10" x14ac:dyDescent="0.25">
      <c r="I1138" s="199"/>
      <c r="J1138" s="199"/>
    </row>
    <row r="1139" spans="9:10" x14ac:dyDescent="0.25">
      <c r="I1139" s="199"/>
      <c r="J1139" s="199"/>
    </row>
    <row r="1140" spans="9:10" x14ac:dyDescent="0.25">
      <c r="I1140" s="199"/>
      <c r="J1140" s="199"/>
    </row>
    <row r="1141" spans="9:10" x14ac:dyDescent="0.25">
      <c r="I1141" s="199"/>
      <c r="J1141" s="199"/>
    </row>
    <row r="1142" spans="9:10" x14ac:dyDescent="0.25">
      <c r="I1142" s="199"/>
      <c r="J1142" s="199"/>
    </row>
    <row r="1143" spans="9:10" x14ac:dyDescent="0.25">
      <c r="I1143" s="199"/>
      <c r="J1143" s="199"/>
    </row>
    <row r="1144" spans="9:10" x14ac:dyDescent="0.25">
      <c r="I1144" s="199"/>
      <c r="J1144" s="199"/>
    </row>
    <row r="1145" spans="9:10" x14ac:dyDescent="0.25">
      <c r="I1145" s="199"/>
      <c r="J1145" s="199"/>
    </row>
    <row r="1146" spans="9:10" x14ac:dyDescent="0.25">
      <c r="I1146" s="199"/>
      <c r="J1146" s="199"/>
    </row>
    <row r="1147" spans="9:10" x14ac:dyDescent="0.25">
      <c r="I1147" s="199"/>
      <c r="J1147" s="199"/>
    </row>
    <row r="1148" spans="9:10" x14ac:dyDescent="0.25">
      <c r="I1148" s="199"/>
      <c r="J1148" s="199"/>
    </row>
    <row r="1149" spans="9:10" x14ac:dyDescent="0.25">
      <c r="I1149" s="199"/>
      <c r="J1149" s="199"/>
    </row>
    <row r="1150" spans="9:10" x14ac:dyDescent="0.25">
      <c r="I1150" s="199"/>
      <c r="J1150" s="199"/>
    </row>
    <row r="1151" spans="9:10" x14ac:dyDescent="0.25">
      <c r="I1151" s="199"/>
      <c r="J1151" s="199"/>
    </row>
    <row r="1152" spans="9:10" x14ac:dyDescent="0.25">
      <c r="I1152" s="199"/>
      <c r="J1152" s="199"/>
    </row>
    <row r="1153" spans="9:10" x14ac:dyDescent="0.25">
      <c r="I1153" s="199"/>
      <c r="J1153" s="199"/>
    </row>
    <row r="1154" spans="9:10" x14ac:dyDescent="0.25">
      <c r="I1154" s="199"/>
      <c r="J1154" s="199"/>
    </row>
    <row r="1155" spans="9:10" x14ac:dyDescent="0.25">
      <c r="I1155" s="199"/>
      <c r="J1155" s="199"/>
    </row>
    <row r="1156" spans="9:10" x14ac:dyDescent="0.25">
      <c r="I1156" s="199"/>
      <c r="J1156" s="199"/>
    </row>
    <row r="1157" spans="9:10" x14ac:dyDescent="0.25">
      <c r="I1157" s="199"/>
      <c r="J1157" s="199"/>
    </row>
    <row r="1158" spans="9:10" x14ac:dyDescent="0.25">
      <c r="I1158" s="199"/>
      <c r="J1158" s="199"/>
    </row>
    <row r="1159" spans="9:10" x14ac:dyDescent="0.25">
      <c r="I1159" s="199"/>
      <c r="J1159" s="199"/>
    </row>
    <row r="1160" spans="9:10" x14ac:dyDescent="0.25">
      <c r="I1160" s="199"/>
      <c r="J1160" s="199"/>
    </row>
    <row r="1161" spans="9:10" x14ac:dyDescent="0.25">
      <c r="I1161" s="199"/>
      <c r="J1161" s="199"/>
    </row>
    <row r="1162" spans="9:10" x14ac:dyDescent="0.25">
      <c r="I1162" s="199"/>
      <c r="J1162" s="199"/>
    </row>
    <row r="1163" spans="9:10" x14ac:dyDescent="0.25">
      <c r="I1163" s="199"/>
      <c r="J1163" s="199"/>
    </row>
    <row r="1164" spans="9:10" x14ac:dyDescent="0.25">
      <c r="I1164" s="199"/>
      <c r="J1164" s="199"/>
    </row>
    <row r="1165" spans="9:10" x14ac:dyDescent="0.25">
      <c r="I1165" s="199"/>
      <c r="J1165" s="199"/>
    </row>
    <row r="1166" spans="9:10" x14ac:dyDescent="0.25">
      <c r="I1166" s="199"/>
      <c r="J1166" s="199"/>
    </row>
    <row r="1167" spans="9:10" x14ac:dyDescent="0.25">
      <c r="I1167" s="199"/>
      <c r="J1167" s="199"/>
    </row>
    <row r="1168" spans="9:10" x14ac:dyDescent="0.25">
      <c r="I1168" s="199"/>
      <c r="J1168" s="199"/>
    </row>
    <row r="1169" spans="9:10" x14ac:dyDescent="0.25">
      <c r="I1169" s="199"/>
      <c r="J1169" s="199"/>
    </row>
    <row r="1170" spans="9:10" x14ac:dyDescent="0.25">
      <c r="I1170" s="199"/>
      <c r="J1170" s="199"/>
    </row>
    <row r="1171" spans="9:10" x14ac:dyDescent="0.25">
      <c r="I1171" s="199"/>
      <c r="J1171" s="199"/>
    </row>
    <row r="1172" spans="9:10" x14ac:dyDescent="0.25">
      <c r="I1172" s="199"/>
      <c r="J1172" s="199"/>
    </row>
    <row r="1173" spans="9:10" x14ac:dyDescent="0.25">
      <c r="I1173" s="199"/>
      <c r="J1173" s="199"/>
    </row>
    <row r="1174" spans="9:10" x14ac:dyDescent="0.25">
      <c r="I1174" s="199"/>
      <c r="J1174" s="199"/>
    </row>
    <row r="1175" spans="9:10" x14ac:dyDescent="0.25">
      <c r="I1175" s="199"/>
      <c r="J1175" s="199"/>
    </row>
    <row r="1176" spans="9:10" x14ac:dyDescent="0.25">
      <c r="I1176" s="199"/>
      <c r="J1176" s="199"/>
    </row>
    <row r="1177" spans="9:10" x14ac:dyDescent="0.25">
      <c r="I1177" s="199"/>
      <c r="J1177" s="199"/>
    </row>
    <row r="1178" spans="9:10" x14ac:dyDescent="0.25">
      <c r="I1178" s="199"/>
      <c r="J1178" s="199"/>
    </row>
    <row r="1179" spans="9:10" x14ac:dyDescent="0.25">
      <c r="I1179" s="199"/>
      <c r="J1179" s="199"/>
    </row>
    <row r="1180" spans="9:10" x14ac:dyDescent="0.25">
      <c r="I1180" s="199"/>
      <c r="J1180" s="199"/>
    </row>
    <row r="1181" spans="9:10" x14ac:dyDescent="0.25">
      <c r="I1181" s="199"/>
      <c r="J1181" s="199"/>
    </row>
    <row r="1182" spans="9:10" x14ac:dyDescent="0.25">
      <c r="I1182" s="199"/>
      <c r="J1182" s="199"/>
    </row>
    <row r="1183" spans="9:10" x14ac:dyDescent="0.25">
      <c r="I1183" s="199"/>
      <c r="J1183" s="199"/>
    </row>
    <row r="1184" spans="9:10" x14ac:dyDescent="0.25">
      <c r="I1184" s="199"/>
      <c r="J1184" s="199"/>
    </row>
    <row r="1185" spans="9:10" x14ac:dyDescent="0.25">
      <c r="I1185" s="199"/>
      <c r="J1185" s="199"/>
    </row>
    <row r="1186" spans="9:10" x14ac:dyDescent="0.25">
      <c r="I1186" s="199"/>
      <c r="J1186" s="199"/>
    </row>
    <row r="1187" spans="9:10" x14ac:dyDescent="0.25">
      <c r="I1187" s="199"/>
      <c r="J1187" s="199"/>
    </row>
    <row r="1188" spans="9:10" x14ac:dyDescent="0.25">
      <c r="I1188" s="199"/>
      <c r="J1188" s="199"/>
    </row>
    <row r="1189" spans="9:10" x14ac:dyDescent="0.25">
      <c r="I1189" s="199"/>
      <c r="J1189" s="199"/>
    </row>
    <row r="1190" spans="9:10" x14ac:dyDescent="0.25">
      <c r="I1190" s="199"/>
      <c r="J1190" s="199"/>
    </row>
    <row r="1191" spans="9:10" x14ac:dyDescent="0.25">
      <c r="I1191" s="199"/>
      <c r="J1191" s="199"/>
    </row>
    <row r="1192" spans="9:10" x14ac:dyDescent="0.25">
      <c r="I1192" s="199"/>
      <c r="J1192" s="199"/>
    </row>
    <row r="1193" spans="9:10" x14ac:dyDescent="0.25">
      <c r="I1193" s="199"/>
      <c r="J1193" s="199"/>
    </row>
    <row r="1194" spans="9:10" x14ac:dyDescent="0.25">
      <c r="I1194" s="199"/>
      <c r="J1194" s="199"/>
    </row>
    <row r="1195" spans="9:10" x14ac:dyDescent="0.25">
      <c r="I1195" s="199"/>
      <c r="J1195" s="199"/>
    </row>
    <row r="1196" spans="9:10" x14ac:dyDescent="0.25">
      <c r="I1196" s="199"/>
      <c r="J1196" s="199"/>
    </row>
    <row r="1197" spans="9:10" x14ac:dyDescent="0.25">
      <c r="I1197" s="199"/>
      <c r="J1197" s="199"/>
    </row>
    <row r="1198" spans="9:10" x14ac:dyDescent="0.25">
      <c r="I1198" s="199"/>
      <c r="J1198" s="199"/>
    </row>
    <row r="1199" spans="9:10" x14ac:dyDescent="0.25">
      <c r="I1199" s="199"/>
      <c r="J1199" s="199"/>
    </row>
    <row r="1200" spans="9:10" x14ac:dyDescent="0.25">
      <c r="I1200" s="199"/>
      <c r="J1200" s="199"/>
    </row>
    <row r="1201" spans="9:10" x14ac:dyDescent="0.25">
      <c r="I1201" s="199"/>
      <c r="J1201" s="199"/>
    </row>
    <row r="1202" spans="9:10" x14ac:dyDescent="0.25">
      <c r="I1202" s="199"/>
      <c r="J1202" s="199"/>
    </row>
    <row r="1203" spans="9:10" x14ac:dyDescent="0.25">
      <c r="I1203" s="199"/>
      <c r="J1203" s="199"/>
    </row>
    <row r="1204" spans="9:10" x14ac:dyDescent="0.25">
      <c r="I1204" s="199"/>
      <c r="J1204" s="199"/>
    </row>
    <row r="1205" spans="9:10" x14ac:dyDescent="0.25">
      <c r="I1205" s="199"/>
      <c r="J1205" s="199"/>
    </row>
    <row r="1206" spans="9:10" x14ac:dyDescent="0.25">
      <c r="I1206" s="199"/>
      <c r="J1206" s="199"/>
    </row>
    <row r="1207" spans="9:10" x14ac:dyDescent="0.25">
      <c r="I1207" s="199"/>
      <c r="J1207" s="199"/>
    </row>
    <row r="1208" spans="9:10" x14ac:dyDescent="0.25">
      <c r="I1208" s="199"/>
      <c r="J1208" s="199"/>
    </row>
    <row r="1209" spans="9:10" x14ac:dyDescent="0.25">
      <c r="I1209" s="199"/>
      <c r="J1209" s="199"/>
    </row>
    <row r="1210" spans="9:10" x14ac:dyDescent="0.25">
      <c r="I1210" s="199"/>
      <c r="J1210" s="199"/>
    </row>
    <row r="1211" spans="9:10" x14ac:dyDescent="0.25">
      <c r="I1211" s="199"/>
      <c r="J1211" s="199"/>
    </row>
    <row r="1212" spans="9:10" x14ac:dyDescent="0.25">
      <c r="I1212" s="199"/>
      <c r="J1212" s="199"/>
    </row>
    <row r="1213" spans="9:10" x14ac:dyDescent="0.25">
      <c r="I1213" s="199"/>
      <c r="J1213" s="199"/>
    </row>
    <row r="1214" spans="9:10" x14ac:dyDescent="0.25">
      <c r="I1214" s="199"/>
      <c r="J1214" s="199"/>
    </row>
    <row r="1215" spans="9:10" x14ac:dyDescent="0.25">
      <c r="I1215" s="199"/>
      <c r="J1215" s="199"/>
    </row>
    <row r="1216" spans="9:10" x14ac:dyDescent="0.25">
      <c r="I1216" s="199"/>
      <c r="J1216" s="199"/>
    </row>
    <row r="1217" spans="9:10" x14ac:dyDescent="0.25">
      <c r="I1217" s="199"/>
      <c r="J1217" s="199"/>
    </row>
    <row r="1218" spans="9:10" x14ac:dyDescent="0.25">
      <c r="I1218" s="199"/>
      <c r="J1218" s="199"/>
    </row>
    <row r="1219" spans="9:10" x14ac:dyDescent="0.25">
      <c r="I1219" s="199"/>
      <c r="J1219" s="199"/>
    </row>
    <row r="1220" spans="9:10" x14ac:dyDescent="0.25">
      <c r="I1220" s="199"/>
      <c r="J1220" s="199"/>
    </row>
    <row r="1221" spans="9:10" x14ac:dyDescent="0.25">
      <c r="I1221" s="199"/>
      <c r="J1221" s="199"/>
    </row>
    <row r="1222" spans="9:10" x14ac:dyDescent="0.25">
      <c r="I1222" s="199"/>
      <c r="J1222" s="199"/>
    </row>
    <row r="1223" spans="9:10" x14ac:dyDescent="0.25">
      <c r="I1223" s="199"/>
      <c r="J1223" s="199"/>
    </row>
    <row r="1224" spans="9:10" x14ac:dyDescent="0.25">
      <c r="I1224" s="199"/>
      <c r="J1224" s="199"/>
    </row>
    <row r="1225" spans="9:10" x14ac:dyDescent="0.25">
      <c r="I1225" s="199"/>
      <c r="J1225" s="199"/>
    </row>
    <row r="1226" spans="9:10" x14ac:dyDescent="0.25">
      <c r="I1226" s="199"/>
      <c r="J1226" s="199"/>
    </row>
    <row r="1227" spans="9:10" x14ac:dyDescent="0.25">
      <c r="I1227" s="199"/>
      <c r="J1227" s="199"/>
    </row>
    <row r="1228" spans="9:10" x14ac:dyDescent="0.25">
      <c r="I1228" s="199"/>
      <c r="J1228" s="199"/>
    </row>
    <row r="1229" spans="9:10" x14ac:dyDescent="0.25">
      <c r="I1229" s="199"/>
      <c r="J1229" s="199"/>
    </row>
    <row r="1230" spans="9:10" x14ac:dyDescent="0.25">
      <c r="I1230" s="199"/>
      <c r="J1230" s="199"/>
    </row>
    <row r="1231" spans="9:10" x14ac:dyDescent="0.25">
      <c r="I1231" s="199"/>
      <c r="J1231" s="199"/>
    </row>
    <row r="1232" spans="9:10" x14ac:dyDescent="0.25">
      <c r="I1232" s="199"/>
      <c r="J1232" s="199"/>
    </row>
    <row r="1233" spans="9:10" x14ac:dyDescent="0.25">
      <c r="I1233" s="199"/>
      <c r="J1233" s="199"/>
    </row>
    <row r="1234" spans="9:10" x14ac:dyDescent="0.25">
      <c r="I1234" s="199"/>
      <c r="J1234" s="199"/>
    </row>
    <row r="1235" spans="9:10" x14ac:dyDescent="0.25">
      <c r="I1235" s="199"/>
      <c r="J1235" s="199"/>
    </row>
    <row r="1236" spans="9:10" x14ac:dyDescent="0.25">
      <c r="I1236" s="199"/>
      <c r="J1236" s="199"/>
    </row>
    <row r="1237" spans="9:10" x14ac:dyDescent="0.25">
      <c r="I1237" s="199"/>
      <c r="J1237" s="199"/>
    </row>
    <row r="1238" spans="9:10" x14ac:dyDescent="0.25">
      <c r="I1238" s="199"/>
      <c r="J1238" s="199"/>
    </row>
    <row r="1239" spans="9:10" x14ac:dyDescent="0.25">
      <c r="I1239" s="199"/>
      <c r="J1239" s="199"/>
    </row>
    <row r="1240" spans="9:10" x14ac:dyDescent="0.25">
      <c r="I1240" s="199"/>
      <c r="J1240" s="199"/>
    </row>
    <row r="1241" spans="9:10" x14ac:dyDescent="0.25">
      <c r="I1241" s="199"/>
      <c r="J1241" s="199"/>
    </row>
    <row r="1242" spans="9:10" x14ac:dyDescent="0.25">
      <c r="I1242" s="199"/>
      <c r="J1242" s="199"/>
    </row>
    <row r="1243" spans="9:10" x14ac:dyDescent="0.25">
      <c r="I1243" s="199"/>
      <c r="J1243" s="199"/>
    </row>
    <row r="1244" spans="9:10" x14ac:dyDescent="0.25">
      <c r="I1244" s="199"/>
      <c r="J1244" s="199"/>
    </row>
    <row r="1245" spans="9:10" x14ac:dyDescent="0.25">
      <c r="I1245" s="199"/>
      <c r="J1245" s="199"/>
    </row>
    <row r="1246" spans="9:10" x14ac:dyDescent="0.25">
      <c r="I1246" s="199"/>
      <c r="J1246" s="199"/>
    </row>
    <row r="1247" spans="9:10" x14ac:dyDescent="0.25">
      <c r="I1247" s="199"/>
      <c r="J1247" s="199"/>
    </row>
    <row r="1248" spans="9:10" x14ac:dyDescent="0.25">
      <c r="I1248" s="199"/>
      <c r="J1248" s="199"/>
    </row>
    <row r="1249" spans="9:10" x14ac:dyDescent="0.25">
      <c r="I1249" s="199"/>
      <c r="J1249" s="199"/>
    </row>
    <row r="1250" spans="9:10" x14ac:dyDescent="0.25">
      <c r="I1250" s="199"/>
      <c r="J1250" s="199"/>
    </row>
    <row r="1251" spans="9:10" x14ac:dyDescent="0.25">
      <c r="I1251" s="199"/>
      <c r="J1251" s="199"/>
    </row>
    <row r="1252" spans="9:10" x14ac:dyDescent="0.25">
      <c r="I1252" s="199"/>
      <c r="J1252" s="199"/>
    </row>
    <row r="1253" spans="9:10" x14ac:dyDescent="0.25">
      <c r="I1253" s="199"/>
      <c r="J1253" s="199"/>
    </row>
    <row r="1254" spans="9:10" x14ac:dyDescent="0.25">
      <c r="I1254" s="199"/>
      <c r="J1254" s="199"/>
    </row>
    <row r="1255" spans="9:10" x14ac:dyDescent="0.25">
      <c r="I1255" s="199"/>
      <c r="J1255" s="199"/>
    </row>
    <row r="1256" spans="9:10" x14ac:dyDescent="0.25">
      <c r="I1256" s="199"/>
      <c r="J1256" s="199"/>
    </row>
    <row r="1257" spans="9:10" x14ac:dyDescent="0.25">
      <c r="I1257" s="199"/>
      <c r="J1257" s="199"/>
    </row>
    <row r="1258" spans="9:10" x14ac:dyDescent="0.25">
      <c r="I1258" s="199"/>
      <c r="J1258" s="199"/>
    </row>
    <row r="1259" spans="9:10" x14ac:dyDescent="0.25">
      <c r="I1259" s="199"/>
      <c r="J1259" s="199"/>
    </row>
    <row r="1260" spans="9:10" x14ac:dyDescent="0.25">
      <c r="I1260" s="199"/>
      <c r="J1260" s="199"/>
    </row>
    <row r="1261" spans="9:10" x14ac:dyDescent="0.25">
      <c r="I1261" s="199"/>
      <c r="J1261" s="199"/>
    </row>
    <row r="1262" spans="9:10" x14ac:dyDescent="0.25">
      <c r="I1262" s="199"/>
      <c r="J1262" s="199"/>
    </row>
    <row r="1263" spans="9:10" x14ac:dyDescent="0.25">
      <c r="I1263" s="199"/>
      <c r="J1263" s="199"/>
    </row>
    <row r="1264" spans="9:10" x14ac:dyDescent="0.25">
      <c r="I1264" s="199"/>
      <c r="J1264" s="199"/>
    </row>
    <row r="1265" spans="9:10" x14ac:dyDescent="0.25">
      <c r="I1265" s="199"/>
      <c r="J1265" s="199"/>
    </row>
    <row r="1266" spans="9:10" x14ac:dyDescent="0.25">
      <c r="I1266" s="199"/>
      <c r="J1266" s="199"/>
    </row>
    <row r="1267" spans="9:10" x14ac:dyDescent="0.25">
      <c r="I1267" s="199"/>
      <c r="J1267" s="199"/>
    </row>
    <row r="1268" spans="9:10" x14ac:dyDescent="0.25">
      <c r="I1268" s="199"/>
      <c r="J1268" s="199"/>
    </row>
    <row r="1269" spans="9:10" x14ac:dyDescent="0.25">
      <c r="I1269" s="199"/>
      <c r="J1269" s="199"/>
    </row>
    <row r="1270" spans="9:10" x14ac:dyDescent="0.25">
      <c r="I1270" s="199"/>
      <c r="J1270" s="199"/>
    </row>
    <row r="1271" spans="9:10" x14ac:dyDescent="0.25">
      <c r="I1271" s="199"/>
      <c r="J1271" s="199"/>
    </row>
    <row r="1272" spans="9:10" x14ac:dyDescent="0.25">
      <c r="I1272" s="199"/>
      <c r="J1272" s="199"/>
    </row>
    <row r="1273" spans="9:10" x14ac:dyDescent="0.25">
      <c r="I1273" s="199"/>
      <c r="J1273" s="199"/>
    </row>
    <row r="1274" spans="9:10" x14ac:dyDescent="0.25">
      <c r="I1274" s="199"/>
      <c r="J1274" s="199"/>
    </row>
    <row r="1275" spans="9:10" x14ac:dyDescent="0.25">
      <c r="I1275" s="199"/>
      <c r="J1275" s="199"/>
    </row>
    <row r="1276" spans="9:10" x14ac:dyDescent="0.25">
      <c r="I1276" s="199"/>
      <c r="J1276" s="199"/>
    </row>
    <row r="1277" spans="9:10" x14ac:dyDescent="0.25">
      <c r="I1277" s="199"/>
      <c r="J1277" s="199"/>
    </row>
    <row r="1278" spans="9:10" x14ac:dyDescent="0.25">
      <c r="I1278" s="199"/>
      <c r="J1278" s="199"/>
    </row>
    <row r="1279" spans="9:10" x14ac:dyDescent="0.25">
      <c r="I1279" s="199"/>
      <c r="J1279" s="199"/>
    </row>
    <row r="1280" spans="9:10" x14ac:dyDescent="0.25">
      <c r="I1280" s="199"/>
      <c r="J1280" s="199"/>
    </row>
    <row r="1281" spans="9:10" x14ac:dyDescent="0.25">
      <c r="I1281" s="199"/>
      <c r="J1281" s="199"/>
    </row>
    <row r="1282" spans="9:10" x14ac:dyDescent="0.25">
      <c r="I1282" s="199"/>
      <c r="J1282" s="199"/>
    </row>
    <row r="1283" spans="9:10" x14ac:dyDescent="0.25">
      <c r="I1283" s="199"/>
      <c r="J1283" s="199"/>
    </row>
    <row r="1284" spans="9:10" x14ac:dyDescent="0.25">
      <c r="I1284" s="199"/>
      <c r="J1284" s="199"/>
    </row>
    <row r="1285" spans="9:10" x14ac:dyDescent="0.25">
      <c r="I1285" s="199"/>
      <c r="J1285" s="199"/>
    </row>
    <row r="1286" spans="9:10" x14ac:dyDescent="0.25">
      <c r="I1286" s="199"/>
      <c r="J1286" s="199"/>
    </row>
    <row r="1287" spans="9:10" x14ac:dyDescent="0.25">
      <c r="I1287" s="199"/>
      <c r="J1287" s="199"/>
    </row>
    <row r="1288" spans="9:10" x14ac:dyDescent="0.25">
      <c r="I1288" s="199"/>
      <c r="J1288" s="199"/>
    </row>
    <row r="1289" spans="9:10" x14ac:dyDescent="0.25">
      <c r="I1289" s="199"/>
      <c r="J1289" s="199"/>
    </row>
    <row r="1290" spans="9:10" x14ac:dyDescent="0.25">
      <c r="I1290" s="199"/>
      <c r="J1290" s="199"/>
    </row>
    <row r="1291" spans="9:10" x14ac:dyDescent="0.25">
      <c r="I1291" s="199"/>
      <c r="J1291" s="199"/>
    </row>
    <row r="1292" spans="9:10" x14ac:dyDescent="0.25">
      <c r="I1292" s="199"/>
      <c r="J1292" s="199"/>
    </row>
    <row r="1293" spans="9:10" x14ac:dyDescent="0.25">
      <c r="I1293" s="199"/>
      <c r="J1293" s="199"/>
    </row>
    <row r="1294" spans="9:10" x14ac:dyDescent="0.25">
      <c r="I1294" s="199"/>
      <c r="J1294" s="199"/>
    </row>
    <row r="1295" spans="9:10" x14ac:dyDescent="0.25">
      <c r="I1295" s="199"/>
      <c r="J1295" s="199"/>
    </row>
    <row r="1296" spans="9:10" x14ac:dyDescent="0.25">
      <c r="I1296" s="199"/>
      <c r="J1296" s="199"/>
    </row>
    <row r="1297" spans="9:10" x14ac:dyDescent="0.25">
      <c r="I1297" s="199"/>
      <c r="J1297" s="199"/>
    </row>
    <row r="1298" spans="9:10" x14ac:dyDescent="0.25">
      <c r="I1298" s="199"/>
      <c r="J1298" s="199"/>
    </row>
    <row r="1299" spans="9:10" x14ac:dyDescent="0.25">
      <c r="I1299" s="199"/>
      <c r="J1299" s="199"/>
    </row>
    <row r="1300" spans="9:10" x14ac:dyDescent="0.25">
      <c r="I1300" s="199"/>
      <c r="J1300" s="199"/>
    </row>
    <row r="1301" spans="9:10" x14ac:dyDescent="0.25">
      <c r="I1301" s="199"/>
      <c r="J1301" s="199"/>
    </row>
    <row r="1302" spans="9:10" x14ac:dyDescent="0.25">
      <c r="I1302" s="199"/>
      <c r="J1302" s="199"/>
    </row>
    <row r="1303" spans="9:10" x14ac:dyDescent="0.25">
      <c r="I1303" s="199"/>
      <c r="J1303" s="199"/>
    </row>
    <row r="1304" spans="9:10" x14ac:dyDescent="0.25">
      <c r="I1304" s="199"/>
      <c r="J1304" s="199"/>
    </row>
    <row r="1305" spans="9:10" x14ac:dyDescent="0.25">
      <c r="I1305" s="199"/>
      <c r="J1305" s="199"/>
    </row>
    <row r="1306" spans="9:10" x14ac:dyDescent="0.25">
      <c r="I1306" s="199"/>
      <c r="J1306" s="199"/>
    </row>
    <row r="1307" spans="9:10" x14ac:dyDescent="0.25">
      <c r="I1307" s="199"/>
      <c r="J1307" s="199"/>
    </row>
    <row r="1308" spans="9:10" x14ac:dyDescent="0.25">
      <c r="I1308" s="199"/>
      <c r="J1308" s="199"/>
    </row>
    <row r="1309" spans="9:10" x14ac:dyDescent="0.25">
      <c r="I1309" s="199"/>
      <c r="J1309" s="199"/>
    </row>
    <row r="1310" spans="9:10" x14ac:dyDescent="0.25">
      <c r="I1310" s="199"/>
      <c r="J1310" s="199"/>
    </row>
    <row r="1311" spans="9:10" x14ac:dyDescent="0.25">
      <c r="I1311" s="199"/>
      <c r="J1311" s="199"/>
    </row>
    <row r="1312" spans="9:10" x14ac:dyDescent="0.25">
      <c r="I1312" s="199"/>
      <c r="J1312" s="199"/>
    </row>
    <row r="1313" spans="9:10" x14ac:dyDescent="0.25">
      <c r="I1313" s="199"/>
      <c r="J1313" s="199"/>
    </row>
    <row r="1314" spans="9:10" x14ac:dyDescent="0.25">
      <c r="I1314" s="199"/>
      <c r="J1314" s="199"/>
    </row>
    <row r="1315" spans="9:10" x14ac:dyDescent="0.25">
      <c r="I1315" s="199"/>
      <c r="J1315" s="199"/>
    </row>
    <row r="1316" spans="9:10" x14ac:dyDescent="0.25">
      <c r="I1316" s="199"/>
      <c r="J1316" s="199"/>
    </row>
    <row r="1317" spans="9:10" x14ac:dyDescent="0.25">
      <c r="I1317" s="199"/>
      <c r="J1317" s="199"/>
    </row>
    <row r="1318" spans="9:10" x14ac:dyDescent="0.25">
      <c r="I1318" s="199"/>
      <c r="J1318" s="199"/>
    </row>
    <row r="1319" spans="9:10" x14ac:dyDescent="0.25">
      <c r="I1319" s="199"/>
      <c r="J1319" s="199"/>
    </row>
    <row r="1320" spans="9:10" x14ac:dyDescent="0.25">
      <c r="I1320" s="199"/>
      <c r="J1320" s="199"/>
    </row>
    <row r="1321" spans="9:10" x14ac:dyDescent="0.25">
      <c r="I1321" s="199"/>
      <c r="J1321" s="199"/>
    </row>
    <row r="1322" spans="9:10" x14ac:dyDescent="0.25">
      <c r="I1322" s="199"/>
      <c r="J1322" s="199"/>
    </row>
    <row r="1323" spans="9:10" x14ac:dyDescent="0.25">
      <c r="I1323" s="199"/>
      <c r="J1323" s="199"/>
    </row>
    <row r="1324" spans="9:10" x14ac:dyDescent="0.25">
      <c r="I1324" s="199"/>
      <c r="J1324" s="199"/>
    </row>
    <row r="1325" spans="9:10" x14ac:dyDescent="0.25">
      <c r="I1325" s="199"/>
      <c r="J1325" s="199"/>
    </row>
    <row r="1326" spans="9:10" x14ac:dyDescent="0.25">
      <c r="I1326" s="199"/>
      <c r="J1326" s="199"/>
    </row>
    <row r="1327" spans="9:10" x14ac:dyDescent="0.25">
      <c r="I1327" s="199"/>
      <c r="J1327" s="199"/>
    </row>
    <row r="1328" spans="9:10" x14ac:dyDescent="0.25">
      <c r="I1328" s="199"/>
      <c r="J1328" s="199"/>
    </row>
    <row r="1329" spans="9:10" x14ac:dyDescent="0.25">
      <c r="I1329" s="199"/>
      <c r="J1329" s="199"/>
    </row>
    <row r="1330" spans="9:10" x14ac:dyDescent="0.25">
      <c r="I1330" s="199"/>
      <c r="J1330" s="199"/>
    </row>
    <row r="1331" spans="9:10" x14ac:dyDescent="0.25">
      <c r="I1331" s="199"/>
      <c r="J1331" s="199"/>
    </row>
    <row r="1332" spans="9:10" x14ac:dyDescent="0.25">
      <c r="I1332" s="199"/>
      <c r="J1332" s="199"/>
    </row>
    <row r="1333" spans="9:10" x14ac:dyDescent="0.25">
      <c r="I1333" s="199"/>
      <c r="J1333" s="199"/>
    </row>
    <row r="1334" spans="9:10" x14ac:dyDescent="0.25">
      <c r="I1334" s="199"/>
      <c r="J1334" s="199"/>
    </row>
    <row r="1335" spans="9:10" x14ac:dyDescent="0.25">
      <c r="I1335" s="199"/>
      <c r="J1335" s="199"/>
    </row>
    <row r="1336" spans="9:10" x14ac:dyDescent="0.25">
      <c r="I1336" s="199"/>
      <c r="J1336" s="199"/>
    </row>
    <row r="1337" spans="9:10" x14ac:dyDescent="0.25">
      <c r="I1337" s="199"/>
      <c r="J1337" s="199"/>
    </row>
    <row r="1338" spans="9:10" x14ac:dyDescent="0.25">
      <c r="I1338" s="199"/>
      <c r="J1338" s="199"/>
    </row>
    <row r="1339" spans="9:10" x14ac:dyDescent="0.25">
      <c r="I1339" s="199"/>
      <c r="J1339" s="199"/>
    </row>
    <row r="1340" spans="9:10" x14ac:dyDescent="0.25">
      <c r="I1340" s="199"/>
      <c r="J1340" s="199"/>
    </row>
    <row r="1341" spans="9:10" x14ac:dyDescent="0.25">
      <c r="I1341" s="199"/>
      <c r="J1341" s="199"/>
    </row>
    <row r="1342" spans="9:10" x14ac:dyDescent="0.25">
      <c r="I1342" s="199"/>
      <c r="J1342" s="199"/>
    </row>
    <row r="1343" spans="9:10" x14ac:dyDescent="0.25">
      <c r="I1343" s="199"/>
      <c r="J1343" s="199"/>
    </row>
    <row r="1344" spans="9:10" x14ac:dyDescent="0.25">
      <c r="I1344" s="199"/>
      <c r="J1344" s="199"/>
    </row>
    <row r="1345" spans="9:10" x14ac:dyDescent="0.25">
      <c r="I1345" s="199"/>
      <c r="J1345" s="199"/>
    </row>
    <row r="1346" spans="9:10" x14ac:dyDescent="0.25">
      <c r="I1346" s="199"/>
      <c r="J1346" s="199"/>
    </row>
    <row r="1347" spans="9:10" x14ac:dyDescent="0.25">
      <c r="I1347" s="199"/>
      <c r="J1347" s="199"/>
    </row>
    <row r="1348" spans="9:10" x14ac:dyDescent="0.25">
      <c r="I1348" s="199"/>
      <c r="J1348" s="199"/>
    </row>
    <row r="1349" spans="9:10" x14ac:dyDescent="0.25">
      <c r="I1349" s="199"/>
      <c r="J1349" s="199"/>
    </row>
    <row r="1350" spans="9:10" x14ac:dyDescent="0.25">
      <c r="I1350" s="199"/>
      <c r="J1350" s="199"/>
    </row>
    <row r="1351" spans="9:10" x14ac:dyDescent="0.25">
      <c r="I1351" s="199"/>
      <c r="J1351" s="199"/>
    </row>
    <row r="1352" spans="9:10" x14ac:dyDescent="0.25">
      <c r="I1352" s="199"/>
      <c r="J1352" s="199"/>
    </row>
    <row r="1353" spans="9:10" x14ac:dyDescent="0.25">
      <c r="I1353" s="199"/>
      <c r="J1353" s="199"/>
    </row>
    <row r="1354" spans="9:10" x14ac:dyDescent="0.25">
      <c r="I1354" s="199"/>
      <c r="J1354" s="199"/>
    </row>
    <row r="1355" spans="9:10" x14ac:dyDescent="0.25">
      <c r="I1355" s="199"/>
      <c r="J1355" s="199"/>
    </row>
    <row r="1356" spans="9:10" x14ac:dyDescent="0.25">
      <c r="I1356" s="199"/>
      <c r="J1356" s="199"/>
    </row>
    <row r="1357" spans="9:10" x14ac:dyDescent="0.25">
      <c r="I1357" s="199"/>
      <c r="J1357" s="199"/>
    </row>
    <row r="1358" spans="9:10" x14ac:dyDescent="0.25">
      <c r="I1358" s="199"/>
      <c r="J1358" s="199"/>
    </row>
    <row r="1359" spans="9:10" x14ac:dyDescent="0.25">
      <c r="I1359" s="199"/>
      <c r="J1359" s="199"/>
    </row>
    <row r="1360" spans="9:10" x14ac:dyDescent="0.25">
      <c r="I1360" s="199"/>
      <c r="J1360" s="199"/>
    </row>
    <row r="1361" spans="9:10" x14ac:dyDescent="0.25">
      <c r="I1361" s="199"/>
      <c r="J1361" s="199"/>
    </row>
    <row r="1362" spans="9:10" x14ac:dyDescent="0.25">
      <c r="I1362" s="199"/>
      <c r="J1362" s="199"/>
    </row>
    <row r="1363" spans="9:10" x14ac:dyDescent="0.25">
      <c r="I1363" s="199"/>
      <c r="J1363" s="199"/>
    </row>
    <row r="1364" spans="9:10" x14ac:dyDescent="0.25">
      <c r="I1364" s="199"/>
      <c r="J1364" s="199"/>
    </row>
    <row r="1365" spans="9:10" x14ac:dyDescent="0.25">
      <c r="I1365" s="199"/>
      <c r="J1365" s="199"/>
    </row>
    <row r="1366" spans="9:10" x14ac:dyDescent="0.25">
      <c r="I1366" s="199"/>
      <c r="J1366" s="199"/>
    </row>
    <row r="1367" spans="9:10" x14ac:dyDescent="0.25">
      <c r="I1367" s="199"/>
      <c r="J1367" s="199"/>
    </row>
    <row r="1368" spans="9:10" x14ac:dyDescent="0.25">
      <c r="I1368" s="199"/>
      <c r="J1368" s="199"/>
    </row>
    <row r="1369" spans="9:10" x14ac:dyDescent="0.25">
      <c r="I1369" s="199"/>
      <c r="J1369" s="199"/>
    </row>
    <row r="1370" spans="9:10" x14ac:dyDescent="0.25">
      <c r="I1370" s="199"/>
      <c r="J1370" s="199"/>
    </row>
    <row r="1371" spans="9:10" x14ac:dyDescent="0.25">
      <c r="I1371" s="199"/>
      <c r="J1371" s="199"/>
    </row>
    <row r="1372" spans="9:10" x14ac:dyDescent="0.25">
      <c r="I1372" s="199"/>
      <c r="J1372" s="199"/>
    </row>
    <row r="1373" spans="9:10" x14ac:dyDescent="0.25">
      <c r="I1373" s="199"/>
      <c r="J1373" s="199"/>
    </row>
    <row r="1374" spans="9:10" x14ac:dyDescent="0.25">
      <c r="I1374" s="199"/>
      <c r="J1374" s="199"/>
    </row>
    <row r="1375" spans="9:10" x14ac:dyDescent="0.25">
      <c r="I1375" s="199"/>
      <c r="J1375" s="199"/>
    </row>
    <row r="1376" spans="9:10" x14ac:dyDescent="0.25">
      <c r="I1376" s="199"/>
      <c r="J1376" s="199"/>
    </row>
    <row r="1377" spans="9:10" x14ac:dyDescent="0.25">
      <c r="I1377" s="199"/>
      <c r="J1377" s="199"/>
    </row>
    <row r="1378" spans="9:10" x14ac:dyDescent="0.25">
      <c r="I1378" s="199"/>
      <c r="J1378" s="199"/>
    </row>
    <row r="1379" spans="9:10" x14ac:dyDescent="0.25">
      <c r="I1379" s="199"/>
      <c r="J1379" s="199"/>
    </row>
    <row r="1380" spans="9:10" x14ac:dyDescent="0.25">
      <c r="I1380" s="199"/>
      <c r="J1380" s="199"/>
    </row>
    <row r="1381" spans="9:10" x14ac:dyDescent="0.25">
      <c r="I1381" s="199"/>
      <c r="J1381" s="199"/>
    </row>
    <row r="1382" spans="9:10" x14ac:dyDescent="0.25">
      <c r="I1382" s="199"/>
      <c r="J1382" s="199"/>
    </row>
    <row r="1383" spans="9:10" x14ac:dyDescent="0.25">
      <c r="I1383" s="199"/>
      <c r="J1383" s="199"/>
    </row>
    <row r="1384" spans="9:10" x14ac:dyDescent="0.25">
      <c r="I1384" s="199"/>
      <c r="J1384" s="199"/>
    </row>
    <row r="1385" spans="9:10" x14ac:dyDescent="0.25">
      <c r="I1385" s="199"/>
      <c r="J1385" s="199"/>
    </row>
    <row r="1386" spans="9:10" x14ac:dyDescent="0.25">
      <c r="I1386" s="199"/>
      <c r="J1386" s="199"/>
    </row>
    <row r="1387" spans="9:10" x14ac:dyDescent="0.25">
      <c r="I1387" s="199"/>
      <c r="J1387" s="199"/>
    </row>
    <row r="1388" spans="9:10" x14ac:dyDescent="0.25">
      <c r="I1388" s="199"/>
      <c r="J1388" s="199"/>
    </row>
    <row r="1389" spans="9:10" x14ac:dyDescent="0.25">
      <c r="I1389" s="199"/>
      <c r="J1389" s="199"/>
    </row>
    <row r="1390" spans="9:10" x14ac:dyDescent="0.25">
      <c r="I1390" s="199"/>
      <c r="J1390" s="199"/>
    </row>
    <row r="1391" spans="9:10" x14ac:dyDescent="0.25">
      <c r="I1391" s="199"/>
      <c r="J1391" s="199"/>
    </row>
    <row r="1392" spans="9:10" x14ac:dyDescent="0.25">
      <c r="I1392" s="199"/>
      <c r="J1392" s="199"/>
    </row>
    <row r="1393" spans="9:10" x14ac:dyDescent="0.25">
      <c r="I1393" s="199"/>
      <c r="J1393" s="199"/>
    </row>
    <row r="1394" spans="9:10" x14ac:dyDescent="0.25">
      <c r="I1394" s="199"/>
      <c r="J1394" s="199"/>
    </row>
    <row r="1395" spans="9:10" x14ac:dyDescent="0.25">
      <c r="I1395" s="199"/>
      <c r="J1395" s="199"/>
    </row>
    <row r="1396" spans="9:10" x14ac:dyDescent="0.25">
      <c r="I1396" s="199"/>
      <c r="J1396" s="199"/>
    </row>
    <row r="1397" spans="9:10" x14ac:dyDescent="0.25">
      <c r="I1397" s="199"/>
      <c r="J1397" s="199"/>
    </row>
    <row r="1398" spans="9:10" x14ac:dyDescent="0.25">
      <c r="I1398" s="199"/>
      <c r="J1398" s="199"/>
    </row>
    <row r="1399" spans="9:10" x14ac:dyDescent="0.25">
      <c r="I1399" s="199"/>
      <c r="J1399" s="199"/>
    </row>
    <row r="1400" spans="9:10" x14ac:dyDescent="0.25">
      <c r="I1400" s="199"/>
      <c r="J1400" s="199"/>
    </row>
    <row r="1401" spans="9:10" x14ac:dyDescent="0.25">
      <c r="I1401" s="199"/>
      <c r="J1401" s="199"/>
    </row>
    <row r="1402" spans="9:10" x14ac:dyDescent="0.25">
      <c r="I1402" s="199"/>
      <c r="J1402" s="199"/>
    </row>
    <row r="1403" spans="9:10" x14ac:dyDescent="0.25">
      <c r="I1403" s="199"/>
      <c r="J1403" s="199"/>
    </row>
    <row r="1404" spans="9:10" x14ac:dyDescent="0.25">
      <c r="I1404" s="199"/>
      <c r="J1404" s="199"/>
    </row>
    <row r="1405" spans="9:10" x14ac:dyDescent="0.25">
      <c r="I1405" s="199"/>
      <c r="J1405" s="199"/>
    </row>
    <row r="1406" spans="9:10" x14ac:dyDescent="0.25">
      <c r="I1406" s="199"/>
      <c r="J1406" s="199"/>
    </row>
    <row r="1407" spans="9:10" x14ac:dyDescent="0.25">
      <c r="I1407" s="199"/>
      <c r="J1407" s="199"/>
    </row>
    <row r="1408" spans="9:10" x14ac:dyDescent="0.25">
      <c r="I1408" s="199"/>
      <c r="J1408" s="199"/>
    </row>
    <row r="1409" spans="9:10" x14ac:dyDescent="0.25">
      <c r="I1409" s="199"/>
      <c r="J1409" s="199"/>
    </row>
    <row r="1410" spans="9:10" x14ac:dyDescent="0.25">
      <c r="I1410" s="199"/>
      <c r="J1410" s="199"/>
    </row>
    <row r="1411" spans="9:10" x14ac:dyDescent="0.25">
      <c r="I1411" s="199"/>
      <c r="J1411" s="199"/>
    </row>
    <row r="1412" spans="9:10" x14ac:dyDescent="0.25">
      <c r="I1412" s="199"/>
      <c r="J1412" s="199"/>
    </row>
    <row r="1413" spans="9:10" x14ac:dyDescent="0.25">
      <c r="I1413" s="199"/>
      <c r="J1413" s="199"/>
    </row>
    <row r="1414" spans="9:10" x14ac:dyDescent="0.25">
      <c r="I1414" s="199"/>
      <c r="J1414" s="199"/>
    </row>
    <row r="1415" spans="9:10" x14ac:dyDescent="0.25">
      <c r="I1415" s="199"/>
      <c r="J1415" s="199"/>
    </row>
    <row r="1416" spans="9:10" x14ac:dyDescent="0.25">
      <c r="I1416" s="199"/>
      <c r="J1416" s="199"/>
    </row>
    <row r="1417" spans="9:10" x14ac:dyDescent="0.25">
      <c r="I1417" s="199"/>
      <c r="J1417" s="199"/>
    </row>
    <row r="1418" spans="9:10" x14ac:dyDescent="0.25">
      <c r="I1418" s="199"/>
      <c r="J1418" s="199"/>
    </row>
    <row r="1419" spans="9:10" x14ac:dyDescent="0.25">
      <c r="I1419" s="199"/>
      <c r="J1419" s="199"/>
    </row>
    <row r="1420" spans="9:10" x14ac:dyDescent="0.25">
      <c r="I1420" s="199"/>
      <c r="J1420" s="199"/>
    </row>
    <row r="1421" spans="9:10" x14ac:dyDescent="0.25">
      <c r="I1421" s="199"/>
      <c r="J1421" s="199"/>
    </row>
    <row r="1422" spans="9:10" x14ac:dyDescent="0.25">
      <c r="I1422" s="199"/>
      <c r="J1422" s="199"/>
    </row>
    <row r="1423" spans="9:10" x14ac:dyDescent="0.25">
      <c r="I1423" s="199"/>
      <c r="J1423" s="199"/>
    </row>
    <row r="1424" spans="9:10" x14ac:dyDescent="0.25">
      <c r="I1424" s="199"/>
      <c r="J1424" s="199"/>
    </row>
    <row r="1425" spans="9:10" x14ac:dyDescent="0.25">
      <c r="I1425" s="199"/>
      <c r="J1425" s="199"/>
    </row>
    <row r="1426" spans="9:10" x14ac:dyDescent="0.25">
      <c r="I1426" s="199"/>
      <c r="J1426" s="199"/>
    </row>
    <row r="1427" spans="9:10" x14ac:dyDescent="0.25">
      <c r="I1427" s="199"/>
      <c r="J1427" s="199"/>
    </row>
    <row r="1428" spans="9:10" x14ac:dyDescent="0.25">
      <c r="I1428" s="199"/>
      <c r="J1428" s="199"/>
    </row>
    <row r="1429" spans="9:10" x14ac:dyDescent="0.25">
      <c r="I1429" s="199"/>
      <c r="J1429" s="199"/>
    </row>
    <row r="1430" spans="9:10" x14ac:dyDescent="0.25">
      <c r="I1430" s="199"/>
      <c r="J1430" s="199"/>
    </row>
    <row r="1431" spans="9:10" x14ac:dyDescent="0.25">
      <c r="I1431" s="199"/>
      <c r="J1431" s="199"/>
    </row>
    <row r="1432" spans="9:10" x14ac:dyDescent="0.25">
      <c r="I1432" s="199"/>
      <c r="J1432" s="199"/>
    </row>
    <row r="1433" spans="9:10" x14ac:dyDescent="0.25">
      <c r="I1433" s="199"/>
      <c r="J1433" s="199"/>
    </row>
    <row r="1434" spans="9:10" x14ac:dyDescent="0.25">
      <c r="I1434" s="199"/>
      <c r="J1434" s="199"/>
    </row>
    <row r="1435" spans="9:10" x14ac:dyDescent="0.25">
      <c r="I1435" s="199"/>
      <c r="J1435" s="199"/>
    </row>
    <row r="1436" spans="9:10" x14ac:dyDescent="0.25">
      <c r="I1436" s="199"/>
      <c r="J1436" s="199"/>
    </row>
    <row r="1437" spans="9:10" x14ac:dyDescent="0.25">
      <c r="I1437" s="199"/>
      <c r="J1437" s="199"/>
    </row>
    <row r="1438" spans="9:10" x14ac:dyDescent="0.25">
      <c r="I1438" s="199"/>
      <c r="J1438" s="199"/>
    </row>
    <row r="1439" spans="9:10" x14ac:dyDescent="0.25">
      <c r="I1439" s="199"/>
      <c r="J1439" s="199"/>
    </row>
    <row r="1440" spans="9:10" x14ac:dyDescent="0.25">
      <c r="I1440" s="199"/>
      <c r="J1440" s="199"/>
    </row>
    <row r="1441" spans="9:10" x14ac:dyDescent="0.25">
      <c r="I1441" s="199"/>
      <c r="J1441" s="199"/>
    </row>
    <row r="1442" spans="9:10" x14ac:dyDescent="0.25">
      <c r="I1442" s="199"/>
      <c r="J1442" s="199"/>
    </row>
    <row r="1443" spans="9:10" x14ac:dyDescent="0.25">
      <c r="I1443" s="199"/>
      <c r="J1443" s="199"/>
    </row>
    <row r="1444" spans="9:10" x14ac:dyDescent="0.25">
      <c r="I1444" s="199"/>
      <c r="J1444" s="199"/>
    </row>
    <row r="1445" spans="9:10" x14ac:dyDescent="0.25">
      <c r="I1445" s="199"/>
      <c r="J1445" s="199"/>
    </row>
    <row r="1446" spans="9:10" x14ac:dyDescent="0.25">
      <c r="I1446" s="199"/>
      <c r="J1446" s="199"/>
    </row>
    <row r="1447" spans="9:10" x14ac:dyDescent="0.25">
      <c r="I1447" s="199"/>
      <c r="J1447" s="199"/>
    </row>
    <row r="1448" spans="9:10" x14ac:dyDescent="0.25">
      <c r="I1448" s="199"/>
      <c r="J1448" s="199"/>
    </row>
    <row r="1449" spans="9:10" x14ac:dyDescent="0.25">
      <c r="I1449" s="199"/>
      <c r="J1449" s="199"/>
    </row>
    <row r="1450" spans="9:10" x14ac:dyDescent="0.25">
      <c r="I1450" s="199"/>
      <c r="J1450" s="199"/>
    </row>
    <row r="1451" spans="9:10" x14ac:dyDescent="0.25">
      <c r="I1451" s="199"/>
      <c r="J1451" s="199"/>
    </row>
    <row r="1452" spans="9:10" x14ac:dyDescent="0.25">
      <c r="I1452" s="199"/>
      <c r="J1452" s="199"/>
    </row>
    <row r="1453" spans="9:10" x14ac:dyDescent="0.25">
      <c r="I1453" s="199"/>
      <c r="J1453" s="199"/>
    </row>
    <row r="1454" spans="9:10" x14ac:dyDescent="0.25">
      <c r="I1454" s="199"/>
      <c r="J1454" s="199"/>
    </row>
    <row r="1455" spans="9:10" x14ac:dyDescent="0.25">
      <c r="I1455" s="199"/>
      <c r="J1455" s="199"/>
    </row>
    <row r="1456" spans="9:10" x14ac:dyDescent="0.25">
      <c r="I1456" s="199"/>
      <c r="J1456" s="199"/>
    </row>
    <row r="1457" spans="9:10" x14ac:dyDescent="0.25">
      <c r="I1457" s="199"/>
      <c r="J1457" s="199"/>
    </row>
    <row r="1458" spans="9:10" x14ac:dyDescent="0.25">
      <c r="I1458" s="199"/>
      <c r="J1458" s="199"/>
    </row>
    <row r="1459" spans="9:10" x14ac:dyDescent="0.25">
      <c r="I1459" s="199"/>
      <c r="J1459" s="199"/>
    </row>
    <row r="1460" spans="9:10" x14ac:dyDescent="0.25">
      <c r="I1460" s="199"/>
      <c r="J1460" s="199"/>
    </row>
    <row r="1461" spans="9:10" x14ac:dyDescent="0.25">
      <c r="I1461" s="199"/>
      <c r="J1461" s="199"/>
    </row>
    <row r="1462" spans="9:10" x14ac:dyDescent="0.25">
      <c r="I1462" s="199"/>
      <c r="J1462" s="199"/>
    </row>
    <row r="1463" spans="9:10" x14ac:dyDescent="0.25">
      <c r="I1463" s="199"/>
      <c r="J1463" s="199"/>
    </row>
    <row r="1464" spans="9:10" x14ac:dyDescent="0.25">
      <c r="I1464" s="199"/>
      <c r="J1464" s="199"/>
    </row>
    <row r="1465" spans="9:10" x14ac:dyDescent="0.25">
      <c r="I1465" s="199"/>
      <c r="J1465" s="199"/>
    </row>
    <row r="1466" spans="9:10" x14ac:dyDescent="0.25">
      <c r="I1466" s="199"/>
      <c r="J1466" s="199"/>
    </row>
    <row r="1467" spans="9:10" x14ac:dyDescent="0.25">
      <c r="I1467" s="199"/>
      <c r="J1467" s="199"/>
    </row>
    <row r="1468" spans="9:10" x14ac:dyDescent="0.25">
      <c r="I1468" s="199"/>
      <c r="J1468" s="199"/>
    </row>
    <row r="1469" spans="9:10" x14ac:dyDescent="0.25">
      <c r="I1469" s="199"/>
      <c r="J1469" s="199"/>
    </row>
    <row r="1470" spans="9:10" x14ac:dyDescent="0.25">
      <c r="I1470" s="199"/>
      <c r="J1470" s="199"/>
    </row>
    <row r="1471" spans="9:10" x14ac:dyDescent="0.25">
      <c r="I1471" s="199"/>
      <c r="J1471" s="199"/>
    </row>
    <row r="1472" spans="9:10" x14ac:dyDescent="0.25">
      <c r="I1472" s="199"/>
      <c r="J1472" s="199"/>
    </row>
    <row r="1473" spans="9:10" x14ac:dyDescent="0.25">
      <c r="I1473" s="199"/>
      <c r="J1473" s="199"/>
    </row>
    <row r="1474" spans="9:10" x14ac:dyDescent="0.25">
      <c r="I1474" s="199"/>
      <c r="J1474" s="199"/>
    </row>
    <row r="1475" spans="9:10" x14ac:dyDescent="0.25">
      <c r="I1475" s="199"/>
      <c r="J1475" s="199"/>
    </row>
    <row r="1476" spans="9:10" x14ac:dyDescent="0.25">
      <c r="I1476" s="199"/>
      <c r="J1476" s="199"/>
    </row>
    <row r="1477" spans="9:10" x14ac:dyDescent="0.25">
      <c r="I1477" s="199"/>
      <c r="J1477" s="199"/>
    </row>
    <row r="1478" spans="9:10" x14ac:dyDescent="0.25">
      <c r="I1478" s="199"/>
      <c r="J1478" s="199"/>
    </row>
    <row r="1479" spans="9:10" x14ac:dyDescent="0.25">
      <c r="I1479" s="199"/>
      <c r="J1479" s="199"/>
    </row>
    <row r="1480" spans="9:10" x14ac:dyDescent="0.25">
      <c r="I1480" s="199"/>
      <c r="J1480" s="199"/>
    </row>
    <row r="1481" spans="9:10" x14ac:dyDescent="0.25">
      <c r="I1481" s="199"/>
      <c r="J1481" s="199"/>
    </row>
    <row r="1482" spans="9:10" x14ac:dyDescent="0.25">
      <c r="I1482" s="199"/>
      <c r="J1482" s="199"/>
    </row>
    <row r="1483" spans="9:10" x14ac:dyDescent="0.25">
      <c r="I1483" s="199"/>
      <c r="J1483" s="199"/>
    </row>
    <row r="1484" spans="9:10" x14ac:dyDescent="0.25">
      <c r="I1484" s="199"/>
      <c r="J1484" s="199"/>
    </row>
    <row r="1485" spans="9:10" x14ac:dyDescent="0.25">
      <c r="I1485" s="199"/>
      <c r="J1485" s="199"/>
    </row>
    <row r="1486" spans="9:10" x14ac:dyDescent="0.25">
      <c r="I1486" s="199"/>
      <c r="J1486" s="199"/>
    </row>
    <row r="1487" spans="9:10" x14ac:dyDescent="0.25">
      <c r="I1487" s="199"/>
      <c r="J1487" s="199"/>
    </row>
    <row r="1488" spans="9:10" x14ac:dyDescent="0.25">
      <c r="I1488" s="199"/>
      <c r="J1488" s="199"/>
    </row>
    <row r="1489" spans="9:10" x14ac:dyDescent="0.25">
      <c r="I1489" s="199"/>
      <c r="J1489" s="199"/>
    </row>
    <row r="1490" spans="9:10" x14ac:dyDescent="0.25">
      <c r="I1490" s="199"/>
      <c r="J1490" s="199"/>
    </row>
    <row r="1491" spans="9:10" x14ac:dyDescent="0.25">
      <c r="I1491" s="199"/>
      <c r="J1491" s="199"/>
    </row>
    <row r="1492" spans="9:10" x14ac:dyDescent="0.25">
      <c r="I1492" s="199"/>
      <c r="J1492" s="199"/>
    </row>
    <row r="1493" spans="9:10" x14ac:dyDescent="0.25">
      <c r="I1493" s="199"/>
      <c r="J1493" s="199"/>
    </row>
    <row r="1494" spans="9:10" x14ac:dyDescent="0.25">
      <c r="I1494" s="199"/>
      <c r="J1494" s="199"/>
    </row>
    <row r="1495" spans="9:10" x14ac:dyDescent="0.25">
      <c r="I1495" s="199"/>
      <c r="J1495" s="199"/>
    </row>
    <row r="1496" spans="9:10" x14ac:dyDescent="0.25">
      <c r="I1496" s="199"/>
      <c r="J1496" s="199"/>
    </row>
    <row r="1497" spans="9:10" x14ac:dyDescent="0.25">
      <c r="I1497" s="199"/>
      <c r="J1497" s="199"/>
    </row>
    <row r="1498" spans="9:10" x14ac:dyDescent="0.25">
      <c r="I1498" s="199"/>
      <c r="J1498" s="199"/>
    </row>
    <row r="1499" spans="9:10" x14ac:dyDescent="0.25">
      <c r="I1499" s="199"/>
      <c r="J1499" s="199"/>
    </row>
    <row r="1500" spans="9:10" x14ac:dyDescent="0.25">
      <c r="I1500" s="199"/>
      <c r="J1500" s="199"/>
    </row>
    <row r="1501" spans="9:10" x14ac:dyDescent="0.25">
      <c r="I1501" s="199"/>
      <c r="J1501" s="199"/>
    </row>
    <row r="1502" spans="9:10" x14ac:dyDescent="0.25">
      <c r="I1502" s="199"/>
      <c r="J1502" s="199"/>
    </row>
    <row r="1503" spans="9:10" x14ac:dyDescent="0.25">
      <c r="I1503" s="199"/>
      <c r="J1503" s="199"/>
    </row>
    <row r="1504" spans="9:10" x14ac:dyDescent="0.25">
      <c r="I1504" s="199"/>
      <c r="J1504" s="199"/>
    </row>
    <row r="1505" spans="9:10" x14ac:dyDescent="0.25">
      <c r="I1505" s="199"/>
      <c r="J1505" s="199"/>
    </row>
    <row r="1506" spans="9:10" x14ac:dyDescent="0.25">
      <c r="I1506" s="199"/>
      <c r="J1506" s="199"/>
    </row>
    <row r="1507" spans="9:10" x14ac:dyDescent="0.25">
      <c r="I1507" s="199"/>
      <c r="J1507" s="199"/>
    </row>
    <row r="1508" spans="9:10" x14ac:dyDescent="0.25">
      <c r="I1508" s="199"/>
      <c r="J1508" s="199"/>
    </row>
    <row r="1509" spans="9:10" x14ac:dyDescent="0.25">
      <c r="I1509" s="199"/>
      <c r="J1509" s="199"/>
    </row>
    <row r="1510" spans="9:10" x14ac:dyDescent="0.25">
      <c r="I1510" s="199"/>
      <c r="J1510" s="199"/>
    </row>
    <row r="1511" spans="9:10" x14ac:dyDescent="0.25">
      <c r="I1511" s="199"/>
      <c r="J1511" s="199"/>
    </row>
    <row r="1512" spans="9:10" x14ac:dyDescent="0.25">
      <c r="I1512" s="199"/>
      <c r="J1512" s="199"/>
    </row>
    <row r="1513" spans="9:10" x14ac:dyDescent="0.25">
      <c r="I1513" s="199"/>
      <c r="J1513" s="199"/>
    </row>
    <row r="1514" spans="9:10" x14ac:dyDescent="0.25">
      <c r="I1514" s="199"/>
      <c r="J1514" s="199"/>
    </row>
    <row r="1515" spans="9:10" x14ac:dyDescent="0.25">
      <c r="I1515" s="199"/>
      <c r="J1515" s="199"/>
    </row>
    <row r="1516" spans="9:10" x14ac:dyDescent="0.25">
      <c r="I1516" s="199"/>
      <c r="J1516" s="199"/>
    </row>
    <row r="1517" spans="9:10" x14ac:dyDescent="0.25">
      <c r="I1517" s="199"/>
      <c r="J1517" s="199"/>
    </row>
    <row r="1518" spans="9:10" x14ac:dyDescent="0.25">
      <c r="I1518" s="199"/>
      <c r="J1518" s="199"/>
    </row>
    <row r="1519" spans="9:10" x14ac:dyDescent="0.25">
      <c r="I1519" s="199"/>
      <c r="J1519" s="199"/>
    </row>
    <row r="1520" spans="9:10" x14ac:dyDescent="0.25">
      <c r="I1520" s="199"/>
      <c r="J1520" s="199"/>
    </row>
    <row r="1521" spans="9:10" x14ac:dyDescent="0.25">
      <c r="I1521" s="199"/>
      <c r="J1521" s="199"/>
    </row>
    <row r="1522" spans="9:10" x14ac:dyDescent="0.25">
      <c r="I1522" s="199"/>
      <c r="J1522" s="199"/>
    </row>
    <row r="1523" spans="9:10" x14ac:dyDescent="0.25">
      <c r="I1523" s="199"/>
      <c r="J1523" s="199"/>
    </row>
    <row r="1524" spans="9:10" x14ac:dyDescent="0.25">
      <c r="I1524" s="199"/>
      <c r="J1524" s="199"/>
    </row>
    <row r="1525" spans="9:10" x14ac:dyDescent="0.25">
      <c r="I1525" s="199"/>
      <c r="J1525" s="199"/>
    </row>
    <row r="1526" spans="9:10" x14ac:dyDescent="0.25">
      <c r="I1526" s="199"/>
      <c r="J1526" s="199"/>
    </row>
    <row r="1527" spans="9:10" x14ac:dyDescent="0.25">
      <c r="I1527" s="199"/>
      <c r="J1527" s="199"/>
    </row>
    <row r="1528" spans="9:10" x14ac:dyDescent="0.25">
      <c r="I1528" s="199"/>
      <c r="J1528" s="199"/>
    </row>
    <row r="1529" spans="9:10" x14ac:dyDescent="0.25">
      <c r="I1529" s="199"/>
      <c r="J1529" s="199"/>
    </row>
    <row r="1530" spans="9:10" x14ac:dyDescent="0.25">
      <c r="I1530" s="199"/>
      <c r="J1530" s="199"/>
    </row>
    <row r="1531" spans="9:10" x14ac:dyDescent="0.25">
      <c r="I1531" s="199"/>
      <c r="J1531" s="199"/>
    </row>
    <row r="1532" spans="9:10" x14ac:dyDescent="0.25">
      <c r="I1532" s="199"/>
      <c r="J1532" s="199"/>
    </row>
    <row r="1533" spans="9:10" x14ac:dyDescent="0.25">
      <c r="I1533" s="199"/>
      <c r="J1533" s="199"/>
    </row>
    <row r="1534" spans="9:10" x14ac:dyDescent="0.25">
      <c r="I1534" s="199"/>
      <c r="J1534" s="199"/>
    </row>
    <row r="1535" spans="9:10" x14ac:dyDescent="0.25">
      <c r="I1535" s="199"/>
      <c r="J1535" s="199"/>
    </row>
    <row r="1536" spans="9:10" x14ac:dyDescent="0.25">
      <c r="I1536" s="199"/>
      <c r="J1536" s="199"/>
    </row>
    <row r="1537" spans="9:10" x14ac:dyDescent="0.25">
      <c r="I1537" s="199"/>
      <c r="J1537" s="199"/>
    </row>
    <row r="1538" spans="9:10" x14ac:dyDescent="0.25">
      <c r="I1538" s="199"/>
      <c r="J1538" s="199"/>
    </row>
    <row r="1539" spans="9:10" x14ac:dyDescent="0.25">
      <c r="I1539" s="199"/>
      <c r="J1539" s="199"/>
    </row>
    <row r="1540" spans="9:10" x14ac:dyDescent="0.25">
      <c r="I1540" s="199"/>
      <c r="J1540" s="199"/>
    </row>
    <row r="1541" spans="9:10" x14ac:dyDescent="0.25">
      <c r="I1541" s="199"/>
      <c r="J1541" s="199"/>
    </row>
    <row r="1542" spans="9:10" x14ac:dyDescent="0.25">
      <c r="I1542" s="199"/>
      <c r="J1542" s="199"/>
    </row>
    <row r="1543" spans="9:10" x14ac:dyDescent="0.25">
      <c r="I1543" s="199"/>
      <c r="J1543" s="199"/>
    </row>
    <row r="1544" spans="9:10" x14ac:dyDescent="0.25">
      <c r="I1544" s="199"/>
      <c r="J1544" s="199"/>
    </row>
    <row r="1545" spans="9:10" x14ac:dyDescent="0.25">
      <c r="I1545" s="199"/>
      <c r="J1545" s="199"/>
    </row>
    <row r="1546" spans="9:10" x14ac:dyDescent="0.25">
      <c r="I1546" s="199"/>
      <c r="J1546" s="199"/>
    </row>
    <row r="1547" spans="9:10" x14ac:dyDescent="0.25">
      <c r="I1547" s="199"/>
      <c r="J1547" s="199"/>
    </row>
    <row r="1548" spans="9:10" x14ac:dyDescent="0.25">
      <c r="I1548" s="199"/>
      <c r="J1548" s="199"/>
    </row>
    <row r="1549" spans="9:10" x14ac:dyDescent="0.25">
      <c r="I1549" s="199"/>
      <c r="J1549" s="199"/>
    </row>
    <row r="1550" spans="9:10" x14ac:dyDescent="0.25">
      <c r="I1550" s="199"/>
      <c r="J1550" s="199"/>
    </row>
    <row r="1551" spans="9:10" x14ac:dyDescent="0.25">
      <c r="I1551" s="199"/>
      <c r="J1551" s="199"/>
    </row>
    <row r="1552" spans="9:10" x14ac:dyDescent="0.25">
      <c r="I1552" s="199"/>
      <c r="J1552" s="199"/>
    </row>
    <row r="1553" spans="9:10" x14ac:dyDescent="0.25">
      <c r="I1553" s="199"/>
      <c r="J1553" s="199"/>
    </row>
    <row r="1554" spans="9:10" x14ac:dyDescent="0.25">
      <c r="I1554" s="199"/>
      <c r="J1554" s="199"/>
    </row>
    <row r="1555" spans="9:10" x14ac:dyDescent="0.25">
      <c r="I1555" s="199"/>
      <c r="J1555" s="199"/>
    </row>
    <row r="1556" spans="9:10" x14ac:dyDescent="0.25">
      <c r="I1556" s="199"/>
      <c r="J1556" s="199"/>
    </row>
    <row r="1557" spans="9:10" x14ac:dyDescent="0.25">
      <c r="I1557" s="199"/>
      <c r="J1557" s="199"/>
    </row>
    <row r="1558" spans="9:10" x14ac:dyDescent="0.25">
      <c r="I1558" s="199"/>
      <c r="J1558" s="199"/>
    </row>
    <row r="1559" spans="9:10" x14ac:dyDescent="0.25">
      <c r="I1559" s="199"/>
      <c r="J1559" s="199"/>
    </row>
    <row r="1560" spans="9:10" x14ac:dyDescent="0.25">
      <c r="I1560" s="199"/>
      <c r="J1560" s="199"/>
    </row>
    <row r="1561" spans="9:10" x14ac:dyDescent="0.25">
      <c r="I1561" s="199"/>
      <c r="J1561" s="199"/>
    </row>
    <row r="1562" spans="9:10" x14ac:dyDescent="0.25">
      <c r="I1562" s="199"/>
      <c r="J1562" s="199"/>
    </row>
    <row r="1563" spans="9:10" x14ac:dyDescent="0.25">
      <c r="I1563" s="199"/>
      <c r="J1563" s="199"/>
    </row>
    <row r="1564" spans="9:10" x14ac:dyDescent="0.25">
      <c r="I1564" s="199"/>
      <c r="J1564" s="199"/>
    </row>
    <row r="1565" spans="9:10" x14ac:dyDescent="0.25">
      <c r="I1565" s="199"/>
      <c r="J1565" s="199"/>
    </row>
    <row r="1566" spans="9:10" x14ac:dyDescent="0.25">
      <c r="I1566" s="199"/>
      <c r="J1566" s="199"/>
    </row>
    <row r="1567" spans="9:10" x14ac:dyDescent="0.25">
      <c r="I1567" s="199"/>
      <c r="J1567" s="199"/>
    </row>
    <row r="1568" spans="9:10" x14ac:dyDescent="0.25">
      <c r="I1568" s="199"/>
      <c r="J1568" s="199"/>
    </row>
    <row r="1569" spans="9:10" x14ac:dyDescent="0.25">
      <c r="I1569" s="199"/>
      <c r="J1569" s="199"/>
    </row>
    <row r="1570" spans="9:10" x14ac:dyDescent="0.25">
      <c r="I1570" s="199"/>
      <c r="J1570" s="199"/>
    </row>
    <row r="1571" spans="9:10" x14ac:dyDescent="0.25">
      <c r="I1571" s="199"/>
      <c r="J1571" s="199"/>
    </row>
    <row r="1572" spans="9:10" x14ac:dyDescent="0.25">
      <c r="I1572" s="199"/>
      <c r="J1572" s="199"/>
    </row>
    <row r="1573" spans="9:10" x14ac:dyDescent="0.25">
      <c r="I1573" s="199"/>
      <c r="J1573" s="199"/>
    </row>
    <row r="1574" spans="9:10" x14ac:dyDescent="0.25">
      <c r="I1574" s="199"/>
      <c r="J1574" s="199"/>
    </row>
    <row r="1575" spans="9:10" x14ac:dyDescent="0.25">
      <c r="I1575" s="199"/>
      <c r="J1575" s="199"/>
    </row>
    <row r="1576" spans="9:10" x14ac:dyDescent="0.25">
      <c r="I1576" s="199"/>
      <c r="J1576" s="199"/>
    </row>
    <row r="1577" spans="9:10" x14ac:dyDescent="0.25">
      <c r="I1577" s="199"/>
      <c r="J1577" s="199"/>
    </row>
    <row r="1578" spans="9:10" x14ac:dyDescent="0.25">
      <c r="I1578" s="199"/>
      <c r="J1578" s="199"/>
    </row>
    <row r="1579" spans="9:10" x14ac:dyDescent="0.25">
      <c r="I1579" s="199"/>
      <c r="J1579" s="199"/>
    </row>
    <row r="1580" spans="9:10" x14ac:dyDescent="0.25">
      <c r="I1580" s="199"/>
      <c r="J1580" s="199"/>
    </row>
    <row r="1581" spans="9:10" x14ac:dyDescent="0.25">
      <c r="I1581" s="199"/>
      <c r="J1581" s="199"/>
    </row>
    <row r="1582" spans="9:10" x14ac:dyDescent="0.25">
      <c r="I1582" s="199"/>
      <c r="J1582" s="199"/>
    </row>
    <row r="1583" spans="9:10" x14ac:dyDescent="0.25">
      <c r="I1583" s="199"/>
      <c r="J1583" s="199"/>
    </row>
    <row r="1584" spans="9:10" x14ac:dyDescent="0.25">
      <c r="I1584" s="199"/>
      <c r="J1584" s="199"/>
    </row>
    <row r="1585" spans="9:10" x14ac:dyDescent="0.25">
      <c r="I1585" s="199"/>
      <c r="J1585" s="199"/>
    </row>
    <row r="1586" spans="9:10" x14ac:dyDescent="0.25">
      <c r="I1586" s="199"/>
      <c r="J1586" s="199"/>
    </row>
    <row r="1587" spans="9:10" x14ac:dyDescent="0.25">
      <c r="I1587" s="199"/>
      <c r="J1587" s="199"/>
    </row>
    <row r="1588" spans="9:10" x14ac:dyDescent="0.25">
      <c r="I1588" s="199"/>
      <c r="J1588" s="199"/>
    </row>
    <row r="1589" spans="9:10" x14ac:dyDescent="0.25">
      <c r="I1589" s="199"/>
      <c r="J1589" s="199"/>
    </row>
    <row r="1590" spans="9:10" x14ac:dyDescent="0.25">
      <c r="I1590" s="199"/>
      <c r="J1590" s="199"/>
    </row>
    <row r="1591" spans="9:10" x14ac:dyDescent="0.25">
      <c r="I1591" s="199"/>
      <c r="J1591" s="199"/>
    </row>
    <row r="1592" spans="9:10" x14ac:dyDescent="0.25">
      <c r="I1592" s="199"/>
      <c r="J1592" s="199"/>
    </row>
    <row r="1593" spans="9:10" x14ac:dyDescent="0.25">
      <c r="I1593" s="199"/>
      <c r="J1593" s="199"/>
    </row>
    <row r="1594" spans="9:10" x14ac:dyDescent="0.25">
      <c r="I1594" s="199"/>
      <c r="J1594" s="199"/>
    </row>
    <row r="1595" spans="9:10" x14ac:dyDescent="0.25">
      <c r="I1595" s="199"/>
      <c r="J1595" s="199"/>
    </row>
    <row r="1596" spans="9:10" x14ac:dyDescent="0.25">
      <c r="I1596" s="199"/>
      <c r="J1596" s="199"/>
    </row>
    <row r="1597" spans="9:10" x14ac:dyDescent="0.25">
      <c r="I1597" s="199"/>
      <c r="J1597" s="199"/>
    </row>
    <row r="1598" spans="9:10" x14ac:dyDescent="0.25">
      <c r="I1598" s="199"/>
      <c r="J1598" s="199"/>
    </row>
    <row r="1599" spans="9:10" x14ac:dyDescent="0.25">
      <c r="I1599" s="199"/>
      <c r="J1599" s="199"/>
    </row>
    <row r="1600" spans="9:10" x14ac:dyDescent="0.25">
      <c r="I1600" s="199"/>
      <c r="J1600" s="199"/>
    </row>
    <row r="1601" spans="9:10" x14ac:dyDescent="0.25">
      <c r="I1601" s="199"/>
      <c r="J1601" s="199"/>
    </row>
    <row r="1602" spans="9:10" x14ac:dyDescent="0.25">
      <c r="I1602" s="199"/>
      <c r="J1602" s="199"/>
    </row>
    <row r="1603" spans="9:10" x14ac:dyDescent="0.25">
      <c r="I1603" s="199"/>
      <c r="J1603" s="199"/>
    </row>
    <row r="1604" spans="9:10" x14ac:dyDescent="0.25">
      <c r="I1604" s="199"/>
      <c r="J1604" s="199"/>
    </row>
    <row r="1605" spans="9:10" x14ac:dyDescent="0.25">
      <c r="I1605" s="199"/>
      <c r="J1605" s="199"/>
    </row>
    <row r="1606" spans="9:10" x14ac:dyDescent="0.25">
      <c r="I1606" s="199"/>
      <c r="J1606" s="199"/>
    </row>
    <row r="1607" spans="9:10" x14ac:dyDescent="0.25">
      <c r="I1607" s="199"/>
      <c r="J1607" s="199"/>
    </row>
    <row r="1608" spans="9:10" x14ac:dyDescent="0.25">
      <c r="I1608" s="199"/>
      <c r="J1608" s="199"/>
    </row>
    <row r="1609" spans="9:10" x14ac:dyDescent="0.25">
      <c r="I1609" s="199"/>
      <c r="J1609" s="199"/>
    </row>
    <row r="1610" spans="9:10" x14ac:dyDescent="0.25">
      <c r="I1610" s="199"/>
      <c r="J1610" s="199"/>
    </row>
    <row r="1611" spans="9:10" x14ac:dyDescent="0.25">
      <c r="I1611" s="199"/>
      <c r="J1611" s="199"/>
    </row>
    <row r="1612" spans="9:10" x14ac:dyDescent="0.25">
      <c r="I1612" s="199"/>
      <c r="J1612" s="199"/>
    </row>
    <row r="1613" spans="9:10" x14ac:dyDescent="0.25">
      <c r="I1613" s="199"/>
      <c r="J1613" s="199"/>
    </row>
    <row r="1614" spans="9:10" x14ac:dyDescent="0.25">
      <c r="I1614" s="199"/>
      <c r="J1614" s="199"/>
    </row>
    <row r="1615" spans="9:10" x14ac:dyDescent="0.25">
      <c r="I1615" s="199"/>
      <c r="J1615" s="199"/>
    </row>
    <row r="1616" spans="9:10" x14ac:dyDescent="0.25">
      <c r="I1616" s="199"/>
      <c r="J1616" s="199"/>
    </row>
    <row r="1617" spans="9:10" x14ac:dyDescent="0.25">
      <c r="I1617" s="199"/>
      <c r="J1617" s="199"/>
    </row>
    <row r="1618" spans="9:10" x14ac:dyDescent="0.25">
      <c r="I1618" s="199"/>
      <c r="J1618" s="199"/>
    </row>
    <row r="1619" spans="9:10" x14ac:dyDescent="0.25">
      <c r="I1619" s="199"/>
      <c r="J1619" s="199"/>
    </row>
    <row r="1620" spans="9:10" x14ac:dyDescent="0.25">
      <c r="I1620" s="199"/>
      <c r="J1620" s="199"/>
    </row>
    <row r="1621" spans="9:10" x14ac:dyDescent="0.25">
      <c r="I1621" s="199"/>
      <c r="J1621" s="199"/>
    </row>
    <row r="1622" spans="9:10" x14ac:dyDescent="0.25">
      <c r="I1622" s="199"/>
      <c r="J1622" s="199"/>
    </row>
    <row r="1623" spans="9:10" x14ac:dyDescent="0.25">
      <c r="I1623" s="199"/>
      <c r="J1623" s="199"/>
    </row>
    <row r="1624" spans="9:10" x14ac:dyDescent="0.25">
      <c r="I1624" s="199"/>
      <c r="J1624" s="199"/>
    </row>
    <row r="1625" spans="9:10" x14ac:dyDescent="0.25">
      <c r="I1625" s="199"/>
      <c r="J1625" s="199"/>
    </row>
    <row r="1626" spans="9:10" x14ac:dyDescent="0.25">
      <c r="I1626" s="199"/>
      <c r="J1626" s="199"/>
    </row>
    <row r="1627" spans="9:10" x14ac:dyDescent="0.25">
      <c r="I1627" s="199"/>
      <c r="J1627" s="199"/>
    </row>
    <row r="1628" spans="9:10" x14ac:dyDescent="0.25">
      <c r="I1628" s="199"/>
      <c r="J1628" s="199"/>
    </row>
    <row r="1629" spans="9:10" x14ac:dyDescent="0.25">
      <c r="I1629" s="199"/>
      <c r="J1629" s="199"/>
    </row>
    <row r="1630" spans="9:10" x14ac:dyDescent="0.25">
      <c r="I1630" s="199"/>
      <c r="J1630" s="199"/>
    </row>
    <row r="1631" spans="9:10" x14ac:dyDescent="0.25">
      <c r="I1631" s="199"/>
      <c r="J1631" s="199"/>
    </row>
    <row r="1632" spans="9:10" x14ac:dyDescent="0.25">
      <c r="I1632" s="199"/>
      <c r="J1632" s="199"/>
    </row>
    <row r="1633" spans="9:10" x14ac:dyDescent="0.25">
      <c r="I1633" s="199"/>
      <c r="J1633" s="199"/>
    </row>
    <row r="1634" spans="9:10" x14ac:dyDescent="0.25">
      <c r="I1634" s="199"/>
      <c r="J1634" s="199"/>
    </row>
    <row r="1635" spans="9:10" x14ac:dyDescent="0.25">
      <c r="I1635" s="199"/>
      <c r="J1635" s="199"/>
    </row>
    <row r="1636" spans="9:10" x14ac:dyDescent="0.25">
      <c r="I1636" s="199"/>
      <c r="J1636" s="199"/>
    </row>
    <row r="1637" spans="9:10" x14ac:dyDescent="0.25">
      <c r="I1637" s="199"/>
      <c r="J1637" s="199"/>
    </row>
    <row r="1638" spans="9:10" x14ac:dyDescent="0.25">
      <c r="I1638" s="199"/>
      <c r="J1638" s="199"/>
    </row>
    <row r="1639" spans="9:10" x14ac:dyDescent="0.25">
      <c r="I1639" s="199"/>
      <c r="J1639" s="199"/>
    </row>
    <row r="1640" spans="9:10" x14ac:dyDescent="0.25">
      <c r="I1640" s="199"/>
      <c r="J1640" s="199"/>
    </row>
    <row r="1641" spans="9:10" x14ac:dyDescent="0.25">
      <c r="I1641" s="199"/>
      <c r="J1641" s="199"/>
    </row>
    <row r="1642" spans="9:10" x14ac:dyDescent="0.25">
      <c r="I1642" s="199"/>
      <c r="J1642" s="199"/>
    </row>
    <row r="1643" spans="9:10" x14ac:dyDescent="0.25">
      <c r="I1643" s="199"/>
      <c r="J1643" s="199"/>
    </row>
    <row r="1644" spans="9:10" x14ac:dyDescent="0.25">
      <c r="I1644" s="199"/>
      <c r="J1644" s="199"/>
    </row>
    <row r="1645" spans="9:10" x14ac:dyDescent="0.25">
      <c r="I1645" s="199"/>
      <c r="J1645" s="199"/>
    </row>
    <row r="1646" spans="9:10" x14ac:dyDescent="0.25">
      <c r="I1646" s="199"/>
      <c r="J1646" s="199"/>
    </row>
    <row r="1647" spans="9:10" x14ac:dyDescent="0.25">
      <c r="I1647" s="199"/>
      <c r="J1647" s="199"/>
    </row>
    <row r="1648" spans="9:10" x14ac:dyDescent="0.25">
      <c r="I1648" s="199"/>
      <c r="J1648" s="199"/>
    </row>
    <row r="1649" spans="9:10" x14ac:dyDescent="0.25">
      <c r="I1649" s="199"/>
      <c r="J1649" s="199"/>
    </row>
    <row r="1650" spans="9:10" x14ac:dyDescent="0.25">
      <c r="I1650" s="199"/>
      <c r="J1650" s="199"/>
    </row>
    <row r="1651" spans="9:10" x14ac:dyDescent="0.25">
      <c r="I1651" s="199"/>
      <c r="J1651" s="199"/>
    </row>
    <row r="1652" spans="9:10" x14ac:dyDescent="0.25">
      <c r="I1652" s="199"/>
      <c r="J1652" s="199"/>
    </row>
    <row r="1653" spans="9:10" x14ac:dyDescent="0.25">
      <c r="I1653" s="199"/>
      <c r="J1653" s="199"/>
    </row>
    <row r="1654" spans="9:10" x14ac:dyDescent="0.25">
      <c r="I1654" s="199"/>
      <c r="J1654" s="199"/>
    </row>
    <row r="1655" spans="9:10" x14ac:dyDescent="0.25">
      <c r="I1655" s="199"/>
      <c r="J1655" s="199"/>
    </row>
    <row r="1656" spans="9:10" x14ac:dyDescent="0.25">
      <c r="I1656" s="199"/>
      <c r="J1656" s="199"/>
    </row>
    <row r="1657" spans="9:10" x14ac:dyDescent="0.25">
      <c r="I1657" s="199"/>
      <c r="J1657" s="199"/>
    </row>
    <row r="1658" spans="9:10" x14ac:dyDescent="0.25">
      <c r="I1658" s="199"/>
      <c r="J1658" s="199"/>
    </row>
    <row r="1659" spans="9:10" x14ac:dyDescent="0.25">
      <c r="I1659" s="199"/>
      <c r="J1659" s="199"/>
    </row>
    <row r="1660" spans="9:10" x14ac:dyDescent="0.25">
      <c r="I1660" s="199"/>
      <c r="J1660" s="199"/>
    </row>
    <row r="1661" spans="9:10" x14ac:dyDescent="0.25">
      <c r="I1661" s="199"/>
      <c r="J1661" s="199"/>
    </row>
    <row r="1662" spans="9:10" x14ac:dyDescent="0.25">
      <c r="I1662" s="199"/>
      <c r="J1662" s="199"/>
    </row>
    <row r="1663" spans="9:10" x14ac:dyDescent="0.25">
      <c r="I1663" s="199"/>
      <c r="J1663" s="199"/>
    </row>
    <row r="1664" spans="9:10" x14ac:dyDescent="0.25">
      <c r="I1664" s="199"/>
      <c r="J1664" s="199"/>
    </row>
    <row r="1665" spans="9:10" x14ac:dyDescent="0.25">
      <c r="I1665" s="199"/>
      <c r="J1665" s="199"/>
    </row>
    <row r="1666" spans="9:10" x14ac:dyDescent="0.25">
      <c r="I1666" s="199"/>
      <c r="J1666" s="199"/>
    </row>
    <row r="1667" spans="9:10" x14ac:dyDescent="0.25">
      <c r="I1667" s="199"/>
      <c r="J1667" s="199"/>
    </row>
    <row r="1668" spans="9:10" x14ac:dyDescent="0.25">
      <c r="I1668" s="199"/>
      <c r="J1668" s="199"/>
    </row>
    <row r="1669" spans="9:10" x14ac:dyDescent="0.25">
      <c r="I1669" s="199"/>
      <c r="J1669" s="199"/>
    </row>
    <row r="1670" spans="9:10" x14ac:dyDescent="0.25">
      <c r="I1670" s="199"/>
      <c r="J1670" s="199"/>
    </row>
    <row r="1671" spans="9:10" x14ac:dyDescent="0.25">
      <c r="I1671" s="199"/>
      <c r="J1671" s="199"/>
    </row>
    <row r="1672" spans="9:10" x14ac:dyDescent="0.25">
      <c r="I1672" s="199"/>
      <c r="J1672" s="199"/>
    </row>
    <row r="1673" spans="9:10" x14ac:dyDescent="0.25">
      <c r="I1673" s="199"/>
      <c r="J1673" s="199"/>
    </row>
    <row r="1674" spans="9:10" x14ac:dyDescent="0.25">
      <c r="I1674" s="199"/>
      <c r="J1674" s="199"/>
    </row>
    <row r="1675" spans="9:10" x14ac:dyDescent="0.25">
      <c r="I1675" s="199"/>
      <c r="J1675" s="199"/>
    </row>
    <row r="1676" spans="9:10" x14ac:dyDescent="0.25">
      <c r="I1676" s="199"/>
      <c r="J1676" s="199"/>
    </row>
    <row r="1677" spans="9:10" x14ac:dyDescent="0.25">
      <c r="I1677" s="199"/>
      <c r="J1677" s="199"/>
    </row>
    <row r="1678" spans="9:10" x14ac:dyDescent="0.25">
      <c r="I1678" s="199"/>
      <c r="J1678" s="199"/>
    </row>
    <row r="1679" spans="9:10" x14ac:dyDescent="0.25">
      <c r="I1679" s="199"/>
      <c r="J1679" s="199"/>
    </row>
    <row r="1680" spans="9:10" x14ac:dyDescent="0.25">
      <c r="I1680" s="199"/>
      <c r="J1680" s="199"/>
    </row>
    <row r="1681" spans="9:10" x14ac:dyDescent="0.25">
      <c r="I1681" s="199"/>
      <c r="J1681" s="199"/>
    </row>
    <row r="1682" spans="9:10" x14ac:dyDescent="0.25">
      <c r="I1682" s="199"/>
      <c r="J1682" s="199"/>
    </row>
    <row r="1683" spans="9:10" x14ac:dyDescent="0.25">
      <c r="I1683" s="199"/>
      <c r="J1683" s="199"/>
    </row>
    <row r="1684" spans="9:10" x14ac:dyDescent="0.25">
      <c r="I1684" s="199"/>
      <c r="J1684" s="199"/>
    </row>
    <row r="1685" spans="9:10" x14ac:dyDescent="0.25">
      <c r="I1685" s="199"/>
      <c r="J1685" s="199"/>
    </row>
    <row r="1686" spans="9:10" x14ac:dyDescent="0.25">
      <c r="I1686" s="199"/>
      <c r="J1686" s="199"/>
    </row>
    <row r="1687" spans="9:10" x14ac:dyDescent="0.25">
      <c r="I1687" s="199"/>
      <c r="J1687" s="199"/>
    </row>
    <row r="1688" spans="9:10" x14ac:dyDescent="0.25">
      <c r="I1688" s="199"/>
      <c r="J1688" s="199"/>
    </row>
    <row r="1689" spans="9:10" x14ac:dyDescent="0.25">
      <c r="I1689" s="199"/>
      <c r="J1689" s="199"/>
    </row>
    <row r="1690" spans="9:10" x14ac:dyDescent="0.25">
      <c r="I1690" s="199"/>
      <c r="J1690" s="199"/>
    </row>
    <row r="1691" spans="9:10" x14ac:dyDescent="0.25">
      <c r="I1691" s="199"/>
      <c r="J1691" s="199"/>
    </row>
    <row r="1692" spans="9:10" x14ac:dyDescent="0.25">
      <c r="I1692" s="199"/>
      <c r="J1692" s="199"/>
    </row>
    <row r="1693" spans="9:10" x14ac:dyDescent="0.25">
      <c r="I1693" s="199"/>
      <c r="J1693" s="199"/>
    </row>
    <row r="1694" spans="9:10" x14ac:dyDescent="0.25">
      <c r="I1694" s="199"/>
      <c r="J1694" s="199"/>
    </row>
    <row r="1695" spans="9:10" x14ac:dyDescent="0.25">
      <c r="I1695" s="199"/>
      <c r="J1695" s="199"/>
    </row>
    <row r="1696" spans="9:10" x14ac:dyDescent="0.25">
      <c r="I1696" s="199"/>
      <c r="J1696" s="199"/>
    </row>
    <row r="1697" spans="9:10" x14ac:dyDescent="0.25">
      <c r="I1697" s="199"/>
      <c r="J1697" s="199"/>
    </row>
    <row r="1698" spans="9:10" x14ac:dyDescent="0.25">
      <c r="I1698" s="199"/>
      <c r="J1698" s="199"/>
    </row>
    <row r="1699" spans="9:10" x14ac:dyDescent="0.25">
      <c r="I1699" s="199"/>
      <c r="J1699" s="199"/>
    </row>
    <row r="1700" spans="9:10" x14ac:dyDescent="0.25">
      <c r="I1700" s="199"/>
      <c r="J1700" s="199"/>
    </row>
    <row r="1701" spans="9:10" x14ac:dyDescent="0.25">
      <c r="I1701" s="199"/>
      <c r="J1701" s="199"/>
    </row>
    <row r="1702" spans="9:10" x14ac:dyDescent="0.25">
      <c r="I1702" s="199"/>
      <c r="J1702" s="199"/>
    </row>
    <row r="1703" spans="9:10" x14ac:dyDescent="0.25">
      <c r="I1703" s="199"/>
      <c r="J1703" s="199"/>
    </row>
    <row r="1704" spans="9:10" x14ac:dyDescent="0.25">
      <c r="I1704" s="199"/>
      <c r="J1704" s="199"/>
    </row>
    <row r="1705" spans="9:10" x14ac:dyDescent="0.25">
      <c r="I1705" s="199"/>
      <c r="J1705" s="199"/>
    </row>
    <row r="1706" spans="9:10" x14ac:dyDescent="0.25">
      <c r="I1706" s="199"/>
      <c r="J1706" s="199"/>
    </row>
    <row r="1707" spans="9:10" x14ac:dyDescent="0.25">
      <c r="I1707" s="199"/>
      <c r="J1707" s="199"/>
    </row>
    <row r="1708" spans="9:10" x14ac:dyDescent="0.25">
      <c r="I1708" s="199"/>
      <c r="J1708" s="199"/>
    </row>
    <row r="1709" spans="9:10" x14ac:dyDescent="0.25">
      <c r="I1709" s="199"/>
      <c r="J1709" s="199"/>
    </row>
    <row r="1710" spans="9:10" x14ac:dyDescent="0.25">
      <c r="I1710" s="199"/>
      <c r="J1710" s="199"/>
    </row>
    <row r="1711" spans="9:10" x14ac:dyDescent="0.25">
      <c r="I1711" s="199"/>
      <c r="J1711" s="199"/>
    </row>
    <row r="1712" spans="9:10" x14ac:dyDescent="0.25">
      <c r="I1712" s="199"/>
      <c r="J1712" s="199"/>
    </row>
    <row r="1713" spans="9:10" x14ac:dyDescent="0.25">
      <c r="I1713" s="199"/>
      <c r="J1713" s="199"/>
    </row>
    <row r="1714" spans="9:10" x14ac:dyDescent="0.25">
      <c r="I1714" s="199"/>
      <c r="J1714" s="199"/>
    </row>
    <row r="1715" spans="9:10" x14ac:dyDescent="0.25">
      <c r="I1715" s="199"/>
      <c r="J1715" s="199"/>
    </row>
    <row r="1716" spans="9:10" x14ac:dyDescent="0.25">
      <c r="I1716" s="199"/>
      <c r="J1716" s="199"/>
    </row>
    <row r="1717" spans="9:10" x14ac:dyDescent="0.25">
      <c r="I1717" s="199"/>
      <c r="J1717" s="199"/>
    </row>
    <row r="1718" spans="9:10" x14ac:dyDescent="0.25">
      <c r="I1718" s="199"/>
      <c r="J1718" s="199"/>
    </row>
    <row r="1719" spans="9:10" x14ac:dyDescent="0.25">
      <c r="I1719" s="199"/>
      <c r="J1719" s="199"/>
    </row>
    <row r="1720" spans="9:10" x14ac:dyDescent="0.25">
      <c r="I1720" s="199"/>
      <c r="J1720" s="199"/>
    </row>
    <row r="1721" spans="9:10" x14ac:dyDescent="0.25">
      <c r="I1721" s="199"/>
      <c r="J1721" s="199"/>
    </row>
    <row r="1722" spans="9:10" x14ac:dyDescent="0.25">
      <c r="I1722" s="199"/>
      <c r="J1722" s="199"/>
    </row>
    <row r="1723" spans="9:10" x14ac:dyDescent="0.25">
      <c r="I1723" s="199"/>
      <c r="J1723" s="199"/>
    </row>
    <row r="1724" spans="9:10" x14ac:dyDescent="0.25">
      <c r="I1724" s="199"/>
      <c r="J1724" s="199"/>
    </row>
    <row r="1725" spans="9:10" x14ac:dyDescent="0.25">
      <c r="I1725" s="199"/>
      <c r="J1725" s="199"/>
    </row>
    <row r="1726" spans="9:10" x14ac:dyDescent="0.25">
      <c r="I1726" s="199"/>
      <c r="J1726" s="199"/>
    </row>
    <row r="1727" spans="9:10" x14ac:dyDescent="0.25">
      <c r="I1727" s="199"/>
      <c r="J1727" s="199"/>
    </row>
    <row r="1728" spans="9:10" x14ac:dyDescent="0.25">
      <c r="I1728" s="199"/>
      <c r="J1728" s="199"/>
    </row>
    <row r="1729" spans="9:10" x14ac:dyDescent="0.25">
      <c r="I1729" s="199"/>
      <c r="J1729" s="199"/>
    </row>
    <row r="1730" spans="9:10" x14ac:dyDescent="0.25">
      <c r="I1730" s="199"/>
      <c r="J1730" s="199"/>
    </row>
    <row r="1731" spans="9:10" x14ac:dyDescent="0.25">
      <c r="I1731" s="199"/>
      <c r="J1731" s="199"/>
    </row>
    <row r="1732" spans="9:10" x14ac:dyDescent="0.25">
      <c r="I1732" s="199"/>
      <c r="J1732" s="199"/>
    </row>
    <row r="1733" spans="9:10" x14ac:dyDescent="0.25">
      <c r="I1733" s="199"/>
      <c r="J1733" s="199"/>
    </row>
    <row r="1734" spans="9:10" x14ac:dyDescent="0.25">
      <c r="I1734" s="199"/>
      <c r="J1734" s="199"/>
    </row>
    <row r="1735" spans="9:10" x14ac:dyDescent="0.25">
      <c r="I1735" s="199"/>
      <c r="J1735" s="199"/>
    </row>
    <row r="1736" spans="9:10" x14ac:dyDescent="0.25">
      <c r="I1736" s="199"/>
      <c r="J1736" s="199"/>
    </row>
    <row r="1737" spans="9:10" x14ac:dyDescent="0.25">
      <c r="I1737" s="199"/>
      <c r="J1737" s="199"/>
    </row>
    <row r="1738" spans="9:10" x14ac:dyDescent="0.25">
      <c r="I1738" s="199"/>
      <c r="J1738" s="199"/>
    </row>
    <row r="1739" spans="9:10" x14ac:dyDescent="0.25">
      <c r="I1739" s="199"/>
      <c r="J1739" s="199"/>
    </row>
    <row r="1740" spans="9:10" x14ac:dyDescent="0.25">
      <c r="I1740" s="199"/>
      <c r="J1740" s="199"/>
    </row>
    <row r="1741" spans="9:10" x14ac:dyDescent="0.25">
      <c r="I1741" s="199"/>
      <c r="J1741" s="199"/>
    </row>
    <row r="1742" spans="9:10" x14ac:dyDescent="0.25">
      <c r="I1742" s="199"/>
      <c r="J1742" s="199"/>
    </row>
    <row r="1743" spans="9:10" x14ac:dyDescent="0.25">
      <c r="I1743" s="199"/>
      <c r="J1743" s="199"/>
    </row>
    <row r="1744" spans="9:10" x14ac:dyDescent="0.25">
      <c r="I1744" s="199"/>
      <c r="J1744" s="199"/>
    </row>
    <row r="1745" spans="9:10" x14ac:dyDescent="0.25">
      <c r="I1745" s="199"/>
      <c r="J1745" s="199"/>
    </row>
    <row r="1746" spans="9:10" x14ac:dyDescent="0.25">
      <c r="I1746" s="199"/>
      <c r="J1746" s="199"/>
    </row>
    <row r="1747" spans="9:10" x14ac:dyDescent="0.25">
      <c r="I1747" s="199"/>
      <c r="J1747" s="199"/>
    </row>
    <row r="1748" spans="9:10" x14ac:dyDescent="0.25">
      <c r="I1748" s="199"/>
      <c r="J1748" s="199"/>
    </row>
    <row r="1749" spans="9:10" x14ac:dyDescent="0.25">
      <c r="I1749" s="199"/>
      <c r="J1749" s="199"/>
    </row>
    <row r="1750" spans="9:10" x14ac:dyDescent="0.25">
      <c r="I1750" s="199"/>
      <c r="J1750" s="199"/>
    </row>
    <row r="1751" spans="9:10" x14ac:dyDescent="0.25">
      <c r="I1751" s="199"/>
      <c r="J1751" s="199"/>
    </row>
    <row r="1752" spans="9:10" x14ac:dyDescent="0.25">
      <c r="I1752" s="199"/>
      <c r="J1752" s="199"/>
    </row>
    <row r="1753" spans="9:10" x14ac:dyDescent="0.25">
      <c r="I1753" s="199"/>
      <c r="J1753" s="199"/>
    </row>
    <row r="1754" spans="9:10" x14ac:dyDescent="0.25">
      <c r="I1754" s="199"/>
      <c r="J1754" s="199"/>
    </row>
    <row r="1755" spans="9:10" x14ac:dyDescent="0.25">
      <c r="I1755" s="199"/>
      <c r="J1755" s="199"/>
    </row>
    <row r="1756" spans="9:10" x14ac:dyDescent="0.25">
      <c r="I1756" s="199"/>
      <c r="J1756" s="199"/>
    </row>
    <row r="1757" spans="9:10" x14ac:dyDescent="0.25">
      <c r="I1757" s="199"/>
      <c r="J1757" s="199"/>
    </row>
    <row r="1758" spans="9:10" x14ac:dyDescent="0.25">
      <c r="I1758" s="199"/>
      <c r="J1758" s="199"/>
    </row>
    <row r="1759" spans="9:10" x14ac:dyDescent="0.25">
      <c r="I1759" s="199"/>
      <c r="J1759" s="199"/>
    </row>
    <row r="1760" spans="9:10" x14ac:dyDescent="0.25">
      <c r="I1760" s="199"/>
      <c r="J1760" s="199"/>
    </row>
    <row r="1761" spans="9:10" x14ac:dyDescent="0.25">
      <c r="I1761" s="199"/>
      <c r="J1761" s="199"/>
    </row>
    <row r="1762" spans="9:10" x14ac:dyDescent="0.25">
      <c r="I1762" s="199"/>
      <c r="J1762" s="199"/>
    </row>
    <row r="1763" spans="9:10" x14ac:dyDescent="0.25">
      <c r="I1763" s="199"/>
      <c r="J1763" s="199"/>
    </row>
    <row r="1764" spans="9:10" x14ac:dyDescent="0.25">
      <c r="I1764" s="199"/>
      <c r="J1764" s="199"/>
    </row>
    <row r="1765" spans="9:10" x14ac:dyDescent="0.25">
      <c r="I1765" s="199"/>
      <c r="J1765" s="199"/>
    </row>
    <row r="1766" spans="9:10" x14ac:dyDescent="0.25">
      <c r="I1766" s="199"/>
      <c r="J1766" s="199"/>
    </row>
    <row r="1767" spans="9:10" x14ac:dyDescent="0.25">
      <c r="I1767" s="199"/>
      <c r="J1767" s="199"/>
    </row>
    <row r="1768" spans="9:10" x14ac:dyDescent="0.25">
      <c r="I1768" s="199"/>
      <c r="J1768" s="199"/>
    </row>
    <row r="1769" spans="9:10" x14ac:dyDescent="0.25">
      <c r="I1769" s="199"/>
      <c r="J1769" s="199"/>
    </row>
    <row r="1770" spans="9:10" x14ac:dyDescent="0.25">
      <c r="I1770" s="199"/>
      <c r="J1770" s="199"/>
    </row>
    <row r="1771" spans="9:10" x14ac:dyDescent="0.25">
      <c r="I1771" s="199"/>
      <c r="J1771" s="199"/>
    </row>
    <row r="1772" spans="9:10" x14ac:dyDescent="0.25">
      <c r="I1772" s="199"/>
      <c r="J1772" s="199"/>
    </row>
    <row r="1773" spans="9:10" x14ac:dyDescent="0.25">
      <c r="I1773" s="199"/>
      <c r="J1773" s="199"/>
    </row>
    <row r="1774" spans="9:10" x14ac:dyDescent="0.25">
      <c r="I1774" s="199"/>
      <c r="J1774" s="199"/>
    </row>
    <row r="1775" spans="9:10" x14ac:dyDescent="0.25">
      <c r="I1775" s="199"/>
      <c r="J1775" s="199"/>
    </row>
    <row r="1776" spans="9:10" x14ac:dyDescent="0.25">
      <c r="I1776" s="199"/>
      <c r="J1776" s="199"/>
    </row>
    <row r="1777" spans="9:10" x14ac:dyDescent="0.25">
      <c r="I1777" s="199"/>
      <c r="J1777" s="199"/>
    </row>
    <row r="1778" spans="9:10" x14ac:dyDescent="0.25">
      <c r="I1778" s="199"/>
      <c r="J1778" s="199"/>
    </row>
    <row r="1779" spans="9:10" x14ac:dyDescent="0.25">
      <c r="I1779" s="199"/>
      <c r="J1779" s="199"/>
    </row>
    <row r="1780" spans="9:10" x14ac:dyDescent="0.25">
      <c r="I1780" s="199"/>
      <c r="J1780" s="199"/>
    </row>
    <row r="1781" spans="9:10" x14ac:dyDescent="0.25">
      <c r="I1781" s="199"/>
      <c r="J1781" s="199"/>
    </row>
    <row r="1782" spans="9:10" x14ac:dyDescent="0.25">
      <c r="I1782" s="199"/>
      <c r="J1782" s="199"/>
    </row>
    <row r="1783" spans="9:10" x14ac:dyDescent="0.25">
      <c r="I1783" s="199"/>
      <c r="J1783" s="199"/>
    </row>
    <row r="1784" spans="9:10" x14ac:dyDescent="0.25">
      <c r="I1784" s="199"/>
      <c r="J1784" s="199"/>
    </row>
    <row r="1785" spans="9:10" x14ac:dyDescent="0.25">
      <c r="I1785" s="199"/>
      <c r="J1785" s="199"/>
    </row>
    <row r="1786" spans="9:10" x14ac:dyDescent="0.25">
      <c r="I1786" s="199"/>
      <c r="J1786" s="199"/>
    </row>
    <row r="1787" spans="9:10" x14ac:dyDescent="0.25">
      <c r="I1787" s="199"/>
      <c r="J1787" s="199"/>
    </row>
    <row r="1788" spans="9:10" x14ac:dyDescent="0.25">
      <c r="I1788" s="199"/>
      <c r="J1788" s="199"/>
    </row>
    <row r="1789" spans="9:10" x14ac:dyDescent="0.25">
      <c r="I1789" s="199"/>
      <c r="J1789" s="199"/>
    </row>
    <row r="1790" spans="9:10" x14ac:dyDescent="0.25">
      <c r="I1790" s="199"/>
      <c r="J1790" s="199"/>
    </row>
    <row r="1791" spans="9:10" x14ac:dyDescent="0.25">
      <c r="I1791" s="199"/>
      <c r="J1791" s="199"/>
    </row>
    <row r="1792" spans="9:10" x14ac:dyDescent="0.25">
      <c r="I1792" s="199"/>
      <c r="J1792" s="199"/>
    </row>
    <row r="1793" spans="9:10" x14ac:dyDescent="0.25">
      <c r="I1793" s="199"/>
      <c r="J1793" s="199"/>
    </row>
    <row r="1794" spans="9:10" x14ac:dyDescent="0.25">
      <c r="I1794" s="199"/>
      <c r="J1794" s="199"/>
    </row>
    <row r="1795" spans="9:10" x14ac:dyDescent="0.25">
      <c r="I1795" s="199"/>
      <c r="J1795" s="199"/>
    </row>
    <row r="1796" spans="9:10" x14ac:dyDescent="0.25">
      <c r="I1796" s="199"/>
      <c r="J1796" s="199"/>
    </row>
    <row r="1797" spans="9:10" x14ac:dyDescent="0.25">
      <c r="I1797" s="199"/>
      <c r="J1797" s="199"/>
    </row>
    <row r="1798" spans="9:10" x14ac:dyDescent="0.25">
      <c r="I1798" s="199"/>
      <c r="J1798" s="199"/>
    </row>
    <row r="1799" spans="9:10" x14ac:dyDescent="0.25">
      <c r="I1799" s="199"/>
      <c r="J1799" s="199"/>
    </row>
    <row r="1800" spans="9:10" x14ac:dyDescent="0.25">
      <c r="I1800" s="199"/>
      <c r="J1800" s="199"/>
    </row>
    <row r="1801" spans="9:10" x14ac:dyDescent="0.25">
      <c r="I1801" s="199"/>
      <c r="J1801" s="199"/>
    </row>
    <row r="1802" spans="9:10" x14ac:dyDescent="0.25">
      <c r="I1802" s="199"/>
      <c r="J1802" s="199"/>
    </row>
    <row r="1803" spans="9:10" x14ac:dyDescent="0.25">
      <c r="I1803" s="199"/>
      <c r="J1803" s="199"/>
    </row>
    <row r="1804" spans="9:10" x14ac:dyDescent="0.25">
      <c r="I1804" s="199"/>
      <c r="J1804" s="199"/>
    </row>
    <row r="1805" spans="9:10" x14ac:dyDescent="0.25">
      <c r="I1805" s="199"/>
      <c r="J1805" s="199"/>
    </row>
    <row r="1806" spans="9:10" x14ac:dyDescent="0.25">
      <c r="I1806" s="199"/>
      <c r="J1806" s="199"/>
    </row>
    <row r="1807" spans="9:10" x14ac:dyDescent="0.25">
      <c r="I1807" s="199"/>
      <c r="J1807" s="199"/>
    </row>
    <row r="1808" spans="9:10" x14ac:dyDescent="0.25">
      <c r="I1808" s="199"/>
      <c r="J1808" s="199"/>
    </row>
    <row r="1809" spans="9:10" x14ac:dyDescent="0.25">
      <c r="I1809" s="199"/>
      <c r="J1809" s="199"/>
    </row>
    <row r="1810" spans="9:10" x14ac:dyDescent="0.25">
      <c r="I1810" s="199"/>
      <c r="J1810" s="199"/>
    </row>
    <row r="1811" spans="9:10" x14ac:dyDescent="0.25">
      <c r="I1811" s="199"/>
      <c r="J1811" s="199"/>
    </row>
    <row r="1812" spans="9:10" x14ac:dyDescent="0.25">
      <c r="I1812" s="199"/>
      <c r="J1812" s="199"/>
    </row>
    <row r="1813" spans="9:10" x14ac:dyDescent="0.25">
      <c r="I1813" s="199"/>
      <c r="J1813" s="199"/>
    </row>
    <row r="1814" spans="9:10" x14ac:dyDescent="0.25">
      <c r="I1814" s="199"/>
      <c r="J1814" s="199"/>
    </row>
    <row r="1815" spans="9:10" x14ac:dyDescent="0.25">
      <c r="I1815" s="199"/>
      <c r="J1815" s="199"/>
    </row>
    <row r="1816" spans="9:10" x14ac:dyDescent="0.25">
      <c r="I1816" s="199"/>
      <c r="J1816" s="199"/>
    </row>
    <row r="1817" spans="9:10" x14ac:dyDescent="0.25">
      <c r="I1817" s="199"/>
      <c r="J1817" s="199"/>
    </row>
    <row r="1818" spans="9:10" x14ac:dyDescent="0.25">
      <c r="I1818" s="199"/>
      <c r="J1818" s="199"/>
    </row>
    <row r="1819" spans="9:10" x14ac:dyDescent="0.25">
      <c r="I1819" s="199"/>
      <c r="J1819" s="199"/>
    </row>
    <row r="1820" spans="9:10" x14ac:dyDescent="0.25">
      <c r="I1820" s="199"/>
      <c r="J1820" s="199"/>
    </row>
    <row r="1821" spans="9:10" x14ac:dyDescent="0.25">
      <c r="I1821" s="199"/>
      <c r="J1821" s="199"/>
    </row>
    <row r="1822" spans="9:10" x14ac:dyDescent="0.25">
      <c r="I1822" s="199"/>
      <c r="J1822" s="199"/>
    </row>
    <row r="1823" spans="9:10" x14ac:dyDescent="0.25">
      <c r="I1823" s="199"/>
      <c r="J1823" s="199"/>
    </row>
    <row r="1824" spans="9:10" x14ac:dyDescent="0.25">
      <c r="I1824" s="199"/>
      <c r="J1824" s="199"/>
    </row>
    <row r="1825" spans="9:10" x14ac:dyDescent="0.25">
      <c r="I1825" s="199"/>
      <c r="J1825" s="199"/>
    </row>
    <row r="1826" spans="9:10" x14ac:dyDescent="0.25">
      <c r="I1826" s="199"/>
      <c r="J1826" s="199"/>
    </row>
    <row r="1827" spans="9:10" x14ac:dyDescent="0.25">
      <c r="I1827" s="199"/>
      <c r="J1827" s="199"/>
    </row>
    <row r="1828" spans="9:10" x14ac:dyDescent="0.25">
      <c r="I1828" s="199"/>
      <c r="J1828" s="199"/>
    </row>
    <row r="1829" spans="9:10" x14ac:dyDescent="0.25">
      <c r="I1829" s="199"/>
      <c r="J1829" s="199"/>
    </row>
    <row r="1830" spans="9:10" x14ac:dyDescent="0.25">
      <c r="I1830" s="199"/>
      <c r="J1830" s="199"/>
    </row>
    <row r="1831" spans="9:10" x14ac:dyDescent="0.25">
      <c r="I1831" s="199"/>
      <c r="J1831" s="199"/>
    </row>
    <row r="1832" spans="9:10" x14ac:dyDescent="0.25">
      <c r="I1832" s="199"/>
      <c r="J1832" s="199"/>
    </row>
    <row r="1833" spans="9:10" x14ac:dyDescent="0.25">
      <c r="I1833" s="199"/>
      <c r="J1833" s="199"/>
    </row>
    <row r="1834" spans="9:10" x14ac:dyDescent="0.25">
      <c r="I1834" s="199"/>
      <c r="J1834" s="199"/>
    </row>
    <row r="1835" spans="9:10" x14ac:dyDescent="0.25">
      <c r="I1835" s="199"/>
      <c r="J1835" s="199"/>
    </row>
    <row r="1836" spans="9:10" x14ac:dyDescent="0.25">
      <c r="I1836" s="199"/>
      <c r="J1836" s="199"/>
    </row>
    <row r="1837" spans="9:10" x14ac:dyDescent="0.25">
      <c r="I1837" s="199"/>
      <c r="J1837" s="199"/>
    </row>
    <row r="1838" spans="9:10" x14ac:dyDescent="0.25">
      <c r="I1838" s="199"/>
      <c r="J1838" s="199"/>
    </row>
    <row r="1839" spans="9:10" x14ac:dyDescent="0.25">
      <c r="I1839" s="199"/>
      <c r="J1839" s="199"/>
    </row>
    <row r="1840" spans="9:10" x14ac:dyDescent="0.25">
      <c r="I1840" s="199"/>
      <c r="J1840" s="199"/>
    </row>
    <row r="1841" spans="9:10" x14ac:dyDescent="0.25">
      <c r="I1841" s="199"/>
      <c r="J1841" s="199"/>
    </row>
    <row r="1842" spans="9:10" x14ac:dyDescent="0.25">
      <c r="I1842" s="199"/>
      <c r="J1842" s="199"/>
    </row>
    <row r="1843" spans="9:10" x14ac:dyDescent="0.25">
      <c r="I1843" s="199"/>
      <c r="J1843" s="199"/>
    </row>
    <row r="1844" spans="9:10" x14ac:dyDescent="0.25">
      <c r="I1844" s="199"/>
      <c r="J1844" s="199"/>
    </row>
    <row r="1845" spans="9:10" x14ac:dyDescent="0.25">
      <c r="I1845" s="199"/>
      <c r="J1845" s="199"/>
    </row>
    <row r="1846" spans="9:10" x14ac:dyDescent="0.25">
      <c r="I1846" s="199"/>
      <c r="J1846" s="199"/>
    </row>
    <row r="1847" spans="9:10" x14ac:dyDescent="0.25">
      <c r="I1847" s="199"/>
      <c r="J1847" s="199"/>
    </row>
    <row r="1848" spans="9:10" x14ac:dyDescent="0.25">
      <c r="I1848" s="199"/>
      <c r="J1848" s="199"/>
    </row>
    <row r="1849" spans="9:10" x14ac:dyDescent="0.25">
      <c r="I1849" s="199"/>
      <c r="J1849" s="199"/>
    </row>
    <row r="1850" spans="9:10" x14ac:dyDescent="0.25">
      <c r="I1850" s="199"/>
      <c r="J1850" s="199"/>
    </row>
    <row r="1851" spans="9:10" x14ac:dyDescent="0.25">
      <c r="I1851" s="199"/>
      <c r="J1851" s="199"/>
    </row>
    <row r="1852" spans="9:10" x14ac:dyDescent="0.25">
      <c r="I1852" s="199"/>
      <c r="J1852" s="199"/>
    </row>
    <row r="1853" spans="9:10" x14ac:dyDescent="0.25">
      <c r="I1853" s="199"/>
      <c r="J1853" s="199"/>
    </row>
    <row r="1854" spans="9:10" x14ac:dyDescent="0.25">
      <c r="I1854" s="199"/>
      <c r="J1854" s="199"/>
    </row>
    <row r="1855" spans="9:10" x14ac:dyDescent="0.25">
      <c r="I1855" s="199"/>
      <c r="J1855" s="199"/>
    </row>
    <row r="1856" spans="9:10" x14ac:dyDescent="0.25">
      <c r="I1856" s="199"/>
      <c r="J1856" s="199"/>
    </row>
    <row r="1857" spans="9:10" x14ac:dyDescent="0.25">
      <c r="I1857" s="199"/>
      <c r="J1857" s="199"/>
    </row>
    <row r="1858" spans="9:10" x14ac:dyDescent="0.25">
      <c r="I1858" s="199"/>
      <c r="J1858" s="199"/>
    </row>
    <row r="1859" spans="9:10" x14ac:dyDescent="0.25">
      <c r="I1859" s="199"/>
      <c r="J1859" s="199"/>
    </row>
    <row r="1860" spans="9:10" x14ac:dyDescent="0.25">
      <c r="I1860" s="199"/>
      <c r="J1860" s="199"/>
    </row>
    <row r="1861" spans="9:10" x14ac:dyDescent="0.25">
      <c r="I1861" s="199"/>
      <c r="J1861" s="199"/>
    </row>
    <row r="1862" spans="9:10" x14ac:dyDescent="0.25">
      <c r="I1862" s="199"/>
      <c r="J1862" s="199"/>
    </row>
    <row r="1863" spans="9:10" x14ac:dyDescent="0.25">
      <c r="I1863" s="199"/>
      <c r="J1863" s="199"/>
    </row>
    <row r="1864" spans="9:10" x14ac:dyDescent="0.25">
      <c r="I1864" s="199"/>
      <c r="J1864" s="199"/>
    </row>
    <row r="1865" spans="9:10" x14ac:dyDescent="0.25">
      <c r="I1865" s="199"/>
      <c r="J1865" s="199"/>
    </row>
    <row r="1866" spans="9:10" x14ac:dyDescent="0.25">
      <c r="I1866" s="199"/>
      <c r="J1866" s="199"/>
    </row>
    <row r="1867" spans="9:10" x14ac:dyDescent="0.25">
      <c r="I1867" s="199"/>
      <c r="J1867" s="199"/>
    </row>
    <row r="1868" spans="9:10" x14ac:dyDescent="0.25">
      <c r="I1868" s="199"/>
      <c r="J1868" s="199"/>
    </row>
    <row r="1869" spans="9:10" x14ac:dyDescent="0.25">
      <c r="I1869" s="199"/>
      <c r="J1869" s="199"/>
    </row>
    <row r="1870" spans="9:10" x14ac:dyDescent="0.25">
      <c r="I1870" s="199"/>
      <c r="J1870" s="199"/>
    </row>
    <row r="1871" spans="9:10" x14ac:dyDescent="0.25">
      <c r="I1871" s="199"/>
      <c r="J1871" s="199"/>
    </row>
    <row r="1872" spans="9:10" x14ac:dyDescent="0.25">
      <c r="I1872" s="199"/>
      <c r="J1872" s="199"/>
    </row>
    <row r="1873" spans="9:10" x14ac:dyDescent="0.25">
      <c r="I1873" s="199"/>
      <c r="J1873" s="199"/>
    </row>
    <row r="1874" spans="9:10" x14ac:dyDescent="0.25">
      <c r="I1874" s="199"/>
      <c r="J1874" s="199"/>
    </row>
    <row r="1875" spans="9:10" x14ac:dyDescent="0.25">
      <c r="I1875" s="199"/>
      <c r="J1875" s="199"/>
    </row>
    <row r="1876" spans="9:10" x14ac:dyDescent="0.25">
      <c r="I1876" s="199"/>
      <c r="J1876" s="199"/>
    </row>
    <row r="1877" spans="9:10" x14ac:dyDescent="0.25">
      <c r="I1877" s="199"/>
      <c r="J1877" s="199"/>
    </row>
    <row r="1878" spans="9:10" x14ac:dyDescent="0.25">
      <c r="I1878" s="199"/>
      <c r="J1878" s="199"/>
    </row>
    <row r="1879" spans="9:10" x14ac:dyDescent="0.25">
      <c r="I1879" s="199"/>
      <c r="J1879" s="199"/>
    </row>
    <row r="1880" spans="9:10" x14ac:dyDescent="0.25">
      <c r="I1880" s="199"/>
      <c r="J1880" s="199"/>
    </row>
    <row r="1881" spans="9:10" x14ac:dyDescent="0.25">
      <c r="I1881" s="199"/>
      <c r="J1881" s="199"/>
    </row>
    <row r="1882" spans="9:10" x14ac:dyDescent="0.25">
      <c r="I1882" s="199"/>
      <c r="J1882" s="199"/>
    </row>
    <row r="1883" spans="9:10" x14ac:dyDescent="0.25">
      <c r="I1883" s="199"/>
      <c r="J1883" s="199"/>
    </row>
    <row r="1884" spans="9:10" x14ac:dyDescent="0.25">
      <c r="I1884" s="199"/>
      <c r="J1884" s="199"/>
    </row>
    <row r="1885" spans="9:10" x14ac:dyDescent="0.25">
      <c r="I1885" s="199"/>
      <c r="J1885" s="199"/>
    </row>
    <row r="1886" spans="9:10" x14ac:dyDescent="0.25">
      <c r="I1886" s="199"/>
      <c r="J1886" s="199"/>
    </row>
    <row r="1887" spans="9:10" x14ac:dyDescent="0.25">
      <c r="I1887" s="199"/>
      <c r="J1887" s="199"/>
    </row>
    <row r="1888" spans="9:10" x14ac:dyDescent="0.25">
      <c r="I1888" s="199"/>
      <c r="J1888" s="199"/>
    </row>
    <row r="1889" spans="9:10" x14ac:dyDescent="0.25">
      <c r="I1889" s="199"/>
      <c r="J1889" s="199"/>
    </row>
    <row r="1890" spans="9:10" x14ac:dyDescent="0.25">
      <c r="I1890" s="199"/>
      <c r="J1890" s="199"/>
    </row>
    <row r="1891" spans="9:10" x14ac:dyDescent="0.25">
      <c r="I1891" s="199"/>
      <c r="J1891" s="199"/>
    </row>
    <row r="1892" spans="9:10" x14ac:dyDescent="0.25">
      <c r="I1892" s="199"/>
      <c r="J1892" s="199"/>
    </row>
    <row r="1893" spans="9:10" x14ac:dyDescent="0.25">
      <c r="I1893" s="199"/>
      <c r="J1893" s="199"/>
    </row>
    <row r="1894" spans="9:10" x14ac:dyDescent="0.25">
      <c r="I1894" s="199"/>
      <c r="J1894" s="199"/>
    </row>
    <row r="1895" spans="9:10" x14ac:dyDescent="0.25">
      <c r="I1895" s="199"/>
      <c r="J1895" s="199"/>
    </row>
    <row r="1896" spans="9:10" x14ac:dyDescent="0.25">
      <c r="I1896" s="199"/>
      <c r="J1896" s="199"/>
    </row>
    <row r="1897" spans="9:10" x14ac:dyDescent="0.25">
      <c r="I1897" s="199"/>
      <c r="J1897" s="199"/>
    </row>
    <row r="1898" spans="9:10" x14ac:dyDescent="0.25">
      <c r="I1898" s="199"/>
      <c r="J1898" s="199"/>
    </row>
    <row r="1899" spans="9:10" x14ac:dyDescent="0.25">
      <c r="I1899" s="199"/>
      <c r="J1899" s="199"/>
    </row>
    <row r="1900" spans="9:10" x14ac:dyDescent="0.25">
      <c r="I1900" s="199"/>
      <c r="J1900" s="199"/>
    </row>
    <row r="1901" spans="9:10" x14ac:dyDescent="0.25">
      <c r="I1901" s="199"/>
      <c r="J1901" s="199"/>
    </row>
    <row r="1902" spans="9:10" x14ac:dyDescent="0.25">
      <c r="I1902" s="199"/>
      <c r="J1902" s="199"/>
    </row>
    <row r="1903" spans="9:10" x14ac:dyDescent="0.25">
      <c r="I1903" s="199"/>
      <c r="J1903" s="199"/>
    </row>
    <row r="1904" spans="9:10" x14ac:dyDescent="0.25">
      <c r="I1904" s="199"/>
      <c r="J1904" s="199"/>
    </row>
    <row r="1905" spans="9:10" x14ac:dyDescent="0.25">
      <c r="I1905" s="199"/>
      <c r="J1905" s="199"/>
    </row>
    <row r="1906" spans="9:10" x14ac:dyDescent="0.25">
      <c r="I1906" s="199"/>
      <c r="J1906" s="199"/>
    </row>
    <row r="1907" spans="9:10" x14ac:dyDescent="0.25">
      <c r="I1907" s="199"/>
      <c r="J1907" s="199"/>
    </row>
    <row r="1908" spans="9:10" x14ac:dyDescent="0.25">
      <c r="I1908" s="199"/>
      <c r="J1908" s="199"/>
    </row>
    <row r="1909" spans="9:10" x14ac:dyDescent="0.25">
      <c r="I1909" s="199"/>
      <c r="J1909" s="199"/>
    </row>
    <row r="1910" spans="9:10" x14ac:dyDescent="0.25">
      <c r="I1910" s="199"/>
      <c r="J1910" s="199"/>
    </row>
    <row r="1911" spans="9:10" x14ac:dyDescent="0.25">
      <c r="I1911" s="199"/>
      <c r="J1911" s="199"/>
    </row>
    <row r="1912" spans="9:10" x14ac:dyDescent="0.25">
      <c r="I1912" s="199"/>
      <c r="J1912" s="199"/>
    </row>
    <row r="1913" spans="9:10" x14ac:dyDescent="0.25">
      <c r="I1913" s="199"/>
      <c r="J1913" s="199"/>
    </row>
    <row r="1914" spans="9:10" x14ac:dyDescent="0.25">
      <c r="I1914" s="199"/>
      <c r="J1914" s="199"/>
    </row>
    <row r="1915" spans="9:10" x14ac:dyDescent="0.25">
      <c r="I1915" s="199"/>
      <c r="J1915" s="199"/>
    </row>
    <row r="1916" spans="9:10" x14ac:dyDescent="0.25">
      <c r="I1916" s="199"/>
      <c r="J1916" s="199"/>
    </row>
    <row r="1917" spans="9:10" x14ac:dyDescent="0.25">
      <c r="I1917" s="199"/>
      <c r="J1917" s="199"/>
    </row>
    <row r="1918" spans="9:10" x14ac:dyDescent="0.25">
      <c r="I1918" s="199"/>
      <c r="J1918" s="199"/>
    </row>
    <row r="1919" spans="9:10" x14ac:dyDescent="0.25">
      <c r="I1919" s="199"/>
      <c r="J1919" s="199"/>
    </row>
    <row r="1920" spans="9:10" x14ac:dyDescent="0.25">
      <c r="I1920" s="199"/>
      <c r="J1920" s="199"/>
    </row>
    <row r="1921" spans="9:10" x14ac:dyDescent="0.25">
      <c r="I1921" s="199"/>
      <c r="J1921" s="199"/>
    </row>
    <row r="1922" spans="9:10" x14ac:dyDescent="0.25">
      <c r="I1922" s="199"/>
      <c r="J1922" s="199"/>
    </row>
    <row r="1923" spans="9:10" x14ac:dyDescent="0.25">
      <c r="I1923" s="199"/>
      <c r="J1923" s="199"/>
    </row>
    <row r="1924" spans="9:10" x14ac:dyDescent="0.25">
      <c r="I1924" s="199"/>
      <c r="J1924" s="199"/>
    </row>
    <row r="1925" spans="9:10" x14ac:dyDescent="0.25">
      <c r="I1925" s="199"/>
      <c r="J1925" s="199"/>
    </row>
    <row r="1926" spans="9:10" x14ac:dyDescent="0.25">
      <c r="I1926" s="199"/>
      <c r="J1926" s="199"/>
    </row>
    <row r="1927" spans="9:10" x14ac:dyDescent="0.25">
      <c r="I1927" s="199"/>
      <c r="J1927" s="199"/>
    </row>
    <row r="1928" spans="9:10" x14ac:dyDescent="0.25">
      <c r="I1928" s="199"/>
      <c r="J1928" s="199"/>
    </row>
    <row r="1929" spans="9:10" x14ac:dyDescent="0.25">
      <c r="I1929" s="199"/>
      <c r="J1929" s="199"/>
    </row>
    <row r="1930" spans="9:10" x14ac:dyDescent="0.25">
      <c r="I1930" s="199"/>
      <c r="J1930" s="199"/>
    </row>
    <row r="1931" spans="9:10" x14ac:dyDescent="0.25">
      <c r="I1931" s="199"/>
      <c r="J1931" s="199"/>
    </row>
    <row r="1932" spans="9:10" x14ac:dyDescent="0.25">
      <c r="I1932" s="199"/>
      <c r="J1932" s="199"/>
    </row>
    <row r="1933" spans="9:10" x14ac:dyDescent="0.25">
      <c r="I1933" s="199"/>
      <c r="J1933" s="199"/>
    </row>
    <row r="1934" spans="9:10" x14ac:dyDescent="0.25">
      <c r="I1934" s="199"/>
      <c r="J1934" s="199"/>
    </row>
    <row r="1935" spans="9:10" x14ac:dyDescent="0.25">
      <c r="I1935" s="199"/>
      <c r="J1935" s="199"/>
    </row>
    <row r="1936" spans="9:10" x14ac:dyDescent="0.25">
      <c r="I1936" s="199"/>
      <c r="J1936" s="199"/>
    </row>
    <row r="1937" spans="9:10" x14ac:dyDescent="0.25">
      <c r="I1937" s="199"/>
      <c r="J1937" s="199"/>
    </row>
    <row r="1938" spans="9:10" x14ac:dyDescent="0.25">
      <c r="I1938" s="199"/>
      <c r="J1938" s="199"/>
    </row>
    <row r="1939" spans="9:10" x14ac:dyDescent="0.25">
      <c r="I1939" s="199"/>
      <c r="J1939" s="199"/>
    </row>
    <row r="1940" spans="9:10" x14ac:dyDescent="0.25">
      <c r="I1940" s="199"/>
      <c r="J1940" s="199"/>
    </row>
    <row r="1941" spans="9:10" x14ac:dyDescent="0.25">
      <c r="I1941" s="199"/>
      <c r="J1941" s="199"/>
    </row>
    <row r="1942" spans="9:10" x14ac:dyDescent="0.25">
      <c r="I1942" s="199"/>
      <c r="J1942" s="199"/>
    </row>
    <row r="1943" spans="9:10" x14ac:dyDescent="0.25">
      <c r="I1943" s="199"/>
      <c r="J1943" s="199"/>
    </row>
    <row r="1944" spans="9:10" x14ac:dyDescent="0.25">
      <c r="I1944" s="199"/>
      <c r="J1944" s="199"/>
    </row>
    <row r="1945" spans="9:10" x14ac:dyDescent="0.25">
      <c r="I1945" s="199"/>
      <c r="J1945" s="199"/>
    </row>
    <row r="1946" spans="9:10" x14ac:dyDescent="0.25">
      <c r="I1946" s="199"/>
      <c r="J1946" s="199"/>
    </row>
    <row r="1947" spans="9:10" x14ac:dyDescent="0.25">
      <c r="I1947" s="199"/>
      <c r="J1947" s="199"/>
    </row>
    <row r="1948" spans="9:10" x14ac:dyDescent="0.25">
      <c r="I1948" s="199"/>
      <c r="J1948" s="199"/>
    </row>
    <row r="1949" spans="9:10" x14ac:dyDescent="0.25">
      <c r="I1949" s="199"/>
      <c r="J1949" s="199"/>
    </row>
    <row r="1950" spans="9:10" x14ac:dyDescent="0.25">
      <c r="I1950" s="199"/>
      <c r="J1950" s="199"/>
    </row>
    <row r="1951" spans="9:10" x14ac:dyDescent="0.25">
      <c r="I1951" s="199"/>
      <c r="J1951" s="199"/>
    </row>
    <row r="1952" spans="9:10" x14ac:dyDescent="0.25">
      <c r="I1952" s="199"/>
      <c r="J1952" s="199"/>
    </row>
    <row r="1953" spans="9:10" x14ac:dyDescent="0.25">
      <c r="I1953" s="199"/>
      <c r="J1953" s="199"/>
    </row>
    <row r="1954" spans="9:10" x14ac:dyDescent="0.25">
      <c r="I1954" s="199"/>
      <c r="J1954" s="199"/>
    </row>
    <row r="1955" spans="9:10" x14ac:dyDescent="0.25">
      <c r="I1955" s="199"/>
      <c r="J1955" s="199"/>
    </row>
    <row r="1956" spans="9:10" x14ac:dyDescent="0.25">
      <c r="I1956" s="199"/>
      <c r="J1956" s="199"/>
    </row>
    <row r="1957" spans="9:10" x14ac:dyDescent="0.25">
      <c r="I1957" s="199"/>
      <c r="J1957" s="199"/>
    </row>
    <row r="1958" spans="9:10" x14ac:dyDescent="0.25">
      <c r="I1958" s="199"/>
      <c r="J1958" s="199"/>
    </row>
    <row r="1959" spans="9:10" x14ac:dyDescent="0.25">
      <c r="I1959" s="199"/>
      <c r="J1959" s="199"/>
    </row>
    <row r="1960" spans="9:10" x14ac:dyDescent="0.25">
      <c r="I1960" s="199"/>
      <c r="J1960" s="199"/>
    </row>
    <row r="1961" spans="9:10" x14ac:dyDescent="0.25">
      <c r="I1961" s="199"/>
      <c r="J1961" s="199"/>
    </row>
    <row r="1962" spans="9:10" x14ac:dyDescent="0.25">
      <c r="I1962" s="199"/>
      <c r="J1962" s="199"/>
    </row>
    <row r="1963" spans="9:10" x14ac:dyDescent="0.25">
      <c r="I1963" s="199"/>
      <c r="J1963" s="199"/>
    </row>
    <row r="1964" spans="9:10" x14ac:dyDescent="0.25">
      <c r="I1964" s="199"/>
      <c r="J1964" s="199"/>
    </row>
    <row r="1965" spans="9:10" x14ac:dyDescent="0.25">
      <c r="I1965" s="199"/>
      <c r="J1965" s="199"/>
    </row>
    <row r="1966" spans="9:10" x14ac:dyDescent="0.25">
      <c r="I1966" s="199"/>
      <c r="J1966" s="199"/>
    </row>
    <row r="1967" spans="9:10" x14ac:dyDescent="0.25">
      <c r="I1967" s="199"/>
      <c r="J1967" s="199"/>
    </row>
    <row r="1968" spans="9:10" x14ac:dyDescent="0.25">
      <c r="I1968" s="199"/>
      <c r="J1968" s="199"/>
    </row>
    <row r="1969" spans="9:10" x14ac:dyDescent="0.25">
      <c r="I1969" s="199"/>
      <c r="J1969" s="199"/>
    </row>
    <row r="1970" spans="9:10" x14ac:dyDescent="0.25">
      <c r="I1970" s="199"/>
      <c r="J1970" s="199"/>
    </row>
    <row r="1971" spans="9:10" x14ac:dyDescent="0.25">
      <c r="I1971" s="199"/>
      <c r="J1971" s="199"/>
    </row>
    <row r="1972" spans="9:10" x14ac:dyDescent="0.25">
      <c r="I1972" s="199"/>
      <c r="J1972" s="199"/>
    </row>
    <row r="1973" spans="9:10" x14ac:dyDescent="0.25">
      <c r="I1973" s="199"/>
      <c r="J1973" s="199"/>
    </row>
    <row r="1974" spans="9:10" x14ac:dyDescent="0.25">
      <c r="I1974" s="199"/>
      <c r="J1974" s="199"/>
    </row>
    <row r="1975" spans="9:10" x14ac:dyDescent="0.25">
      <c r="I1975" s="199"/>
      <c r="J1975" s="199"/>
    </row>
    <row r="1976" spans="9:10" x14ac:dyDescent="0.25">
      <c r="I1976" s="199"/>
      <c r="J1976" s="199"/>
    </row>
    <row r="1977" spans="9:10" x14ac:dyDescent="0.25">
      <c r="I1977" s="199"/>
      <c r="J1977" s="199"/>
    </row>
    <row r="1978" spans="9:10" x14ac:dyDescent="0.25">
      <c r="I1978" s="199"/>
      <c r="J1978" s="199"/>
    </row>
    <row r="1979" spans="9:10" x14ac:dyDescent="0.25">
      <c r="I1979" s="199"/>
      <c r="J1979" s="199"/>
    </row>
    <row r="1980" spans="9:10" x14ac:dyDescent="0.25">
      <c r="I1980" s="199"/>
      <c r="J1980" s="199"/>
    </row>
    <row r="1981" spans="9:10" x14ac:dyDescent="0.25">
      <c r="I1981" s="199"/>
      <c r="J1981" s="199"/>
    </row>
    <row r="1982" spans="9:10" x14ac:dyDescent="0.25">
      <c r="I1982" s="199"/>
      <c r="J1982" s="199"/>
    </row>
    <row r="1983" spans="9:10" x14ac:dyDescent="0.25">
      <c r="I1983" s="199"/>
      <c r="J1983" s="199"/>
    </row>
    <row r="1984" spans="9:10" x14ac:dyDescent="0.25">
      <c r="I1984" s="199"/>
      <c r="J1984" s="199"/>
    </row>
    <row r="1985" spans="9:10" x14ac:dyDescent="0.25">
      <c r="I1985" s="199"/>
      <c r="J1985" s="199"/>
    </row>
    <row r="1986" spans="9:10" x14ac:dyDescent="0.25">
      <c r="I1986" s="199"/>
      <c r="J1986" s="199"/>
    </row>
    <row r="1987" spans="9:10" x14ac:dyDescent="0.25">
      <c r="I1987" s="199"/>
      <c r="J1987" s="199"/>
    </row>
    <row r="1988" spans="9:10" x14ac:dyDescent="0.25">
      <c r="I1988" s="199"/>
      <c r="J1988" s="199"/>
    </row>
    <row r="1989" spans="9:10" x14ac:dyDescent="0.25">
      <c r="I1989" s="199"/>
      <c r="J1989" s="199"/>
    </row>
    <row r="1990" spans="9:10" x14ac:dyDescent="0.25">
      <c r="I1990" s="199"/>
      <c r="J1990" s="199"/>
    </row>
    <row r="1991" spans="9:10" x14ac:dyDescent="0.25">
      <c r="I1991" s="199"/>
      <c r="J1991" s="199"/>
    </row>
    <row r="1992" spans="9:10" x14ac:dyDescent="0.25">
      <c r="I1992" s="199"/>
      <c r="J1992" s="199"/>
    </row>
    <row r="1993" spans="9:10" x14ac:dyDescent="0.25">
      <c r="I1993" s="199"/>
      <c r="J1993" s="199"/>
    </row>
    <row r="1994" spans="9:10" x14ac:dyDescent="0.25">
      <c r="I1994" s="199"/>
      <c r="J1994" s="199"/>
    </row>
    <row r="1995" spans="9:10" x14ac:dyDescent="0.25">
      <c r="I1995" s="199"/>
      <c r="J1995" s="199"/>
    </row>
    <row r="1996" spans="9:10" x14ac:dyDescent="0.25">
      <c r="I1996" s="199"/>
      <c r="J1996" s="199"/>
    </row>
    <row r="1997" spans="9:10" x14ac:dyDescent="0.25">
      <c r="I1997" s="199"/>
      <c r="J1997" s="199"/>
    </row>
    <row r="1998" spans="9:10" x14ac:dyDescent="0.25">
      <c r="I1998" s="199"/>
      <c r="J1998" s="199"/>
    </row>
    <row r="1999" spans="9:10" x14ac:dyDescent="0.25">
      <c r="I1999" s="199"/>
      <c r="J1999" s="199"/>
    </row>
    <row r="2000" spans="9:10" x14ac:dyDescent="0.25">
      <c r="I2000" s="199"/>
      <c r="J2000" s="199"/>
    </row>
    <row r="2001" spans="9:10" x14ac:dyDescent="0.25">
      <c r="I2001" s="199"/>
      <c r="J2001" s="199"/>
    </row>
    <row r="2002" spans="9:10" x14ac:dyDescent="0.25">
      <c r="I2002" s="199"/>
      <c r="J2002" s="199"/>
    </row>
    <row r="2003" spans="9:10" x14ac:dyDescent="0.25">
      <c r="I2003" s="199"/>
      <c r="J2003" s="199"/>
    </row>
    <row r="2004" spans="9:10" x14ac:dyDescent="0.25">
      <c r="I2004" s="199"/>
      <c r="J2004" s="199"/>
    </row>
    <row r="2005" spans="9:10" x14ac:dyDescent="0.25">
      <c r="I2005" s="199"/>
      <c r="J2005" s="199"/>
    </row>
    <row r="2006" spans="9:10" x14ac:dyDescent="0.25">
      <c r="I2006" s="199"/>
      <c r="J2006" s="199"/>
    </row>
    <row r="2007" spans="9:10" x14ac:dyDescent="0.25">
      <c r="I2007" s="199"/>
      <c r="J2007" s="199"/>
    </row>
    <row r="2008" spans="9:10" x14ac:dyDescent="0.25">
      <c r="I2008" s="199"/>
      <c r="J2008" s="199"/>
    </row>
    <row r="2009" spans="9:10" x14ac:dyDescent="0.25">
      <c r="I2009" s="199"/>
      <c r="J2009" s="199"/>
    </row>
    <row r="2010" spans="9:10" x14ac:dyDescent="0.25">
      <c r="I2010" s="199"/>
      <c r="J2010" s="199"/>
    </row>
    <row r="2011" spans="9:10" x14ac:dyDescent="0.25">
      <c r="I2011" s="199"/>
      <c r="J2011" s="199"/>
    </row>
    <row r="2012" spans="9:10" x14ac:dyDescent="0.25">
      <c r="I2012" s="199"/>
      <c r="J2012" s="199"/>
    </row>
    <row r="2013" spans="9:10" x14ac:dyDescent="0.25">
      <c r="I2013" s="199"/>
      <c r="J2013" s="199"/>
    </row>
    <row r="2014" spans="9:10" x14ac:dyDescent="0.25">
      <c r="I2014" s="199"/>
      <c r="J2014" s="199"/>
    </row>
    <row r="2015" spans="9:10" x14ac:dyDescent="0.25">
      <c r="I2015" s="199"/>
      <c r="J2015" s="199"/>
    </row>
    <row r="2016" spans="9:10" x14ac:dyDescent="0.25">
      <c r="I2016" s="199"/>
      <c r="J2016" s="199"/>
    </row>
    <row r="2017" spans="9:10" x14ac:dyDescent="0.25">
      <c r="I2017" s="199"/>
      <c r="J2017" s="199"/>
    </row>
    <row r="2018" spans="9:10" x14ac:dyDescent="0.25">
      <c r="I2018" s="199"/>
      <c r="J2018" s="199"/>
    </row>
    <row r="2019" spans="9:10" x14ac:dyDescent="0.25">
      <c r="I2019" s="199"/>
      <c r="J2019" s="199"/>
    </row>
    <row r="2020" spans="9:10" x14ac:dyDescent="0.25">
      <c r="I2020" s="199"/>
      <c r="J2020" s="199"/>
    </row>
    <row r="2021" spans="9:10" x14ac:dyDescent="0.25">
      <c r="I2021" s="199"/>
      <c r="J2021" s="199"/>
    </row>
    <row r="2022" spans="9:10" x14ac:dyDescent="0.25">
      <c r="I2022" s="199"/>
      <c r="J2022" s="199"/>
    </row>
    <row r="2023" spans="9:10" x14ac:dyDescent="0.25">
      <c r="I2023" s="199"/>
      <c r="J2023" s="199"/>
    </row>
    <row r="2024" spans="9:10" x14ac:dyDescent="0.25">
      <c r="I2024" s="199"/>
      <c r="J2024" s="199"/>
    </row>
    <row r="2025" spans="9:10" x14ac:dyDescent="0.25">
      <c r="I2025" s="199"/>
      <c r="J2025" s="199"/>
    </row>
    <row r="2026" spans="9:10" x14ac:dyDescent="0.25">
      <c r="I2026" s="199"/>
      <c r="J2026" s="199"/>
    </row>
    <row r="2027" spans="9:10" x14ac:dyDescent="0.25">
      <c r="I2027" s="199"/>
      <c r="J2027" s="199"/>
    </row>
    <row r="2028" spans="9:10" x14ac:dyDescent="0.25">
      <c r="I2028" s="199"/>
      <c r="J2028" s="199"/>
    </row>
    <row r="2029" spans="9:10" x14ac:dyDescent="0.25">
      <c r="I2029" s="199"/>
      <c r="J2029" s="199"/>
    </row>
    <row r="2030" spans="9:10" x14ac:dyDescent="0.25">
      <c r="I2030" s="199"/>
      <c r="J2030" s="199"/>
    </row>
    <row r="2031" spans="9:10" x14ac:dyDescent="0.25">
      <c r="I2031" s="199"/>
      <c r="J2031" s="199"/>
    </row>
    <row r="2032" spans="9:10" x14ac:dyDescent="0.25">
      <c r="I2032" s="199"/>
      <c r="J2032" s="199"/>
    </row>
    <row r="2033" spans="9:10" x14ac:dyDescent="0.25">
      <c r="I2033" s="199"/>
      <c r="J2033" s="199"/>
    </row>
    <row r="2034" spans="9:10" x14ac:dyDescent="0.25">
      <c r="I2034" s="199"/>
      <c r="J2034" s="199"/>
    </row>
    <row r="2035" spans="9:10" x14ac:dyDescent="0.25">
      <c r="I2035" s="199"/>
      <c r="J2035" s="199"/>
    </row>
    <row r="2036" spans="9:10" x14ac:dyDescent="0.25">
      <c r="I2036" s="199"/>
      <c r="J2036" s="199"/>
    </row>
    <row r="2037" spans="9:10" x14ac:dyDescent="0.25">
      <c r="I2037" s="199"/>
      <c r="J2037" s="199"/>
    </row>
    <row r="2038" spans="9:10" x14ac:dyDescent="0.25">
      <c r="I2038" s="199"/>
      <c r="J2038" s="199"/>
    </row>
    <row r="2039" spans="9:10" x14ac:dyDescent="0.25">
      <c r="I2039" s="199"/>
      <c r="J2039" s="199"/>
    </row>
    <row r="2040" spans="9:10" x14ac:dyDescent="0.25">
      <c r="I2040" s="199"/>
      <c r="J2040" s="199"/>
    </row>
    <row r="2041" spans="9:10" x14ac:dyDescent="0.25">
      <c r="I2041" s="199"/>
      <c r="J2041" s="199"/>
    </row>
    <row r="2042" spans="9:10" x14ac:dyDescent="0.25">
      <c r="I2042" s="199"/>
      <c r="J2042" s="199"/>
    </row>
    <row r="2043" spans="9:10" x14ac:dyDescent="0.25">
      <c r="I2043" s="199"/>
      <c r="J2043" s="199"/>
    </row>
    <row r="2044" spans="9:10" x14ac:dyDescent="0.25">
      <c r="I2044" s="199"/>
      <c r="J2044" s="199"/>
    </row>
    <row r="2045" spans="9:10" x14ac:dyDescent="0.25">
      <c r="I2045" s="199"/>
      <c r="J2045" s="199"/>
    </row>
    <row r="2046" spans="9:10" x14ac:dyDescent="0.25">
      <c r="I2046" s="199"/>
      <c r="J2046" s="199"/>
    </row>
    <row r="2047" spans="9:10" x14ac:dyDescent="0.25">
      <c r="I2047" s="199"/>
      <c r="J2047" s="199"/>
    </row>
    <row r="2048" spans="9:10" x14ac:dyDescent="0.25">
      <c r="I2048" s="199"/>
      <c r="J2048" s="199"/>
    </row>
    <row r="2049" spans="9:10" x14ac:dyDescent="0.25">
      <c r="I2049" s="199"/>
      <c r="J2049" s="199"/>
    </row>
    <row r="2050" spans="9:10" x14ac:dyDescent="0.25">
      <c r="I2050" s="199"/>
      <c r="J2050" s="199"/>
    </row>
    <row r="2051" spans="9:10" x14ac:dyDescent="0.25">
      <c r="I2051" s="199"/>
      <c r="J2051" s="199"/>
    </row>
    <row r="2052" spans="9:10" x14ac:dyDescent="0.25">
      <c r="I2052" s="199"/>
      <c r="J2052" s="199"/>
    </row>
    <row r="2053" spans="9:10" x14ac:dyDescent="0.25">
      <c r="I2053" s="199"/>
      <c r="J2053" s="199"/>
    </row>
    <row r="2054" spans="9:10" x14ac:dyDescent="0.25">
      <c r="I2054" s="199"/>
      <c r="J2054" s="199"/>
    </row>
    <row r="2055" spans="9:10" x14ac:dyDescent="0.25">
      <c r="I2055" s="199"/>
      <c r="J2055" s="199"/>
    </row>
    <row r="2056" spans="9:10" x14ac:dyDescent="0.25">
      <c r="I2056" s="199"/>
      <c r="J2056" s="199"/>
    </row>
    <row r="2057" spans="9:10" x14ac:dyDescent="0.25">
      <c r="I2057" s="199"/>
      <c r="J2057" s="199"/>
    </row>
    <row r="2058" spans="9:10" x14ac:dyDescent="0.25">
      <c r="I2058" s="199"/>
      <c r="J2058" s="199"/>
    </row>
    <row r="2059" spans="9:10" x14ac:dyDescent="0.25">
      <c r="I2059" s="199"/>
      <c r="J2059" s="199"/>
    </row>
    <row r="2060" spans="9:10" x14ac:dyDescent="0.25">
      <c r="I2060" s="199"/>
      <c r="J2060" s="199"/>
    </row>
    <row r="2061" spans="9:10" x14ac:dyDescent="0.25">
      <c r="I2061" s="199"/>
      <c r="J2061" s="199"/>
    </row>
    <row r="2062" spans="9:10" x14ac:dyDescent="0.25">
      <c r="I2062" s="199"/>
      <c r="J2062" s="199"/>
    </row>
    <row r="2063" spans="9:10" x14ac:dyDescent="0.25">
      <c r="I2063" s="199"/>
      <c r="J2063" s="199"/>
    </row>
    <row r="2064" spans="9:10" x14ac:dyDescent="0.25">
      <c r="I2064" s="199"/>
      <c r="J2064" s="199"/>
    </row>
    <row r="2065" spans="9:10" x14ac:dyDescent="0.25">
      <c r="I2065" s="199"/>
      <c r="J2065" s="199"/>
    </row>
    <row r="2066" spans="9:10" x14ac:dyDescent="0.25">
      <c r="I2066" s="199"/>
      <c r="J2066" s="199"/>
    </row>
    <row r="2067" spans="9:10" x14ac:dyDescent="0.25">
      <c r="I2067" s="199"/>
      <c r="J2067" s="199"/>
    </row>
    <row r="2068" spans="9:10" x14ac:dyDescent="0.25">
      <c r="I2068" s="199"/>
      <c r="J2068" s="199"/>
    </row>
    <row r="2069" spans="9:10" x14ac:dyDescent="0.25">
      <c r="I2069" s="199"/>
      <c r="J2069" s="199"/>
    </row>
    <row r="2070" spans="9:10" x14ac:dyDescent="0.25">
      <c r="I2070" s="199"/>
      <c r="J2070" s="199"/>
    </row>
    <row r="2071" spans="9:10" x14ac:dyDescent="0.25">
      <c r="I2071" s="199"/>
      <c r="J2071" s="199"/>
    </row>
    <row r="2072" spans="9:10" x14ac:dyDescent="0.25">
      <c r="I2072" s="199"/>
      <c r="J2072" s="199"/>
    </row>
    <row r="2073" spans="9:10" x14ac:dyDescent="0.25">
      <c r="I2073" s="199"/>
      <c r="J2073" s="199"/>
    </row>
    <row r="2074" spans="9:10" x14ac:dyDescent="0.25">
      <c r="I2074" s="199"/>
      <c r="J2074" s="199"/>
    </row>
    <row r="2075" spans="9:10" x14ac:dyDescent="0.25">
      <c r="I2075" s="199"/>
      <c r="J2075" s="199"/>
    </row>
    <row r="2076" spans="9:10" x14ac:dyDescent="0.25">
      <c r="I2076" s="199"/>
      <c r="J2076" s="199"/>
    </row>
    <row r="2077" spans="9:10" x14ac:dyDescent="0.25">
      <c r="I2077" s="199"/>
      <c r="J2077" s="199"/>
    </row>
    <row r="2078" spans="9:10" x14ac:dyDescent="0.25">
      <c r="I2078" s="199"/>
      <c r="J2078" s="199"/>
    </row>
    <row r="2079" spans="9:10" x14ac:dyDescent="0.25">
      <c r="I2079" s="199"/>
      <c r="J2079" s="199"/>
    </row>
    <row r="2080" spans="9:10" x14ac:dyDescent="0.25">
      <c r="I2080" s="199"/>
      <c r="J2080" s="199"/>
    </row>
    <row r="2081" spans="9:10" x14ac:dyDescent="0.25">
      <c r="I2081" s="199"/>
      <c r="J2081" s="199"/>
    </row>
    <row r="2082" spans="9:10" x14ac:dyDescent="0.25">
      <c r="I2082" s="199"/>
      <c r="J2082" s="199"/>
    </row>
    <row r="2083" spans="9:10" x14ac:dyDescent="0.25">
      <c r="I2083" s="199"/>
      <c r="J2083" s="199"/>
    </row>
    <row r="2084" spans="9:10" x14ac:dyDescent="0.25">
      <c r="I2084" s="199"/>
      <c r="J2084" s="199"/>
    </row>
    <row r="2085" spans="9:10" x14ac:dyDescent="0.25">
      <c r="I2085" s="199"/>
      <c r="J2085" s="199"/>
    </row>
    <row r="2086" spans="9:10" x14ac:dyDescent="0.25">
      <c r="I2086" s="199"/>
      <c r="J2086" s="199"/>
    </row>
    <row r="2087" spans="9:10" x14ac:dyDescent="0.25">
      <c r="I2087" s="199"/>
      <c r="J2087" s="199"/>
    </row>
    <row r="2088" spans="9:10" x14ac:dyDescent="0.25">
      <c r="I2088" s="199"/>
      <c r="J2088" s="199"/>
    </row>
    <row r="2089" spans="9:10" x14ac:dyDescent="0.25">
      <c r="I2089" s="199"/>
      <c r="J2089" s="199"/>
    </row>
    <row r="2090" spans="9:10" x14ac:dyDescent="0.25">
      <c r="I2090" s="199"/>
      <c r="J2090" s="199"/>
    </row>
    <row r="2091" spans="9:10" x14ac:dyDescent="0.25">
      <c r="I2091" s="199"/>
      <c r="J2091" s="199"/>
    </row>
    <row r="2092" spans="9:10" x14ac:dyDescent="0.25">
      <c r="I2092" s="199"/>
      <c r="J2092" s="199"/>
    </row>
    <row r="2093" spans="9:10" x14ac:dyDescent="0.25">
      <c r="I2093" s="199"/>
      <c r="J2093" s="199"/>
    </row>
    <row r="2094" spans="9:10" x14ac:dyDescent="0.25">
      <c r="I2094" s="199"/>
      <c r="J2094" s="199"/>
    </row>
    <row r="2095" spans="9:10" x14ac:dyDescent="0.25">
      <c r="I2095" s="199"/>
      <c r="J2095" s="199"/>
    </row>
    <row r="2096" spans="9:10" x14ac:dyDescent="0.25">
      <c r="I2096" s="199"/>
      <c r="J2096" s="199"/>
    </row>
    <row r="2097" spans="9:10" x14ac:dyDescent="0.25">
      <c r="I2097" s="199"/>
      <c r="J2097" s="199"/>
    </row>
    <row r="2098" spans="9:10" x14ac:dyDescent="0.25">
      <c r="I2098" s="199"/>
      <c r="J2098" s="199"/>
    </row>
    <row r="2099" spans="9:10" x14ac:dyDescent="0.25">
      <c r="I2099" s="199"/>
      <c r="J2099" s="199"/>
    </row>
    <row r="2100" spans="9:10" x14ac:dyDescent="0.25">
      <c r="I2100" s="199"/>
      <c r="J2100" s="199"/>
    </row>
    <row r="2101" spans="9:10" x14ac:dyDescent="0.25">
      <c r="I2101" s="199"/>
      <c r="J2101" s="199"/>
    </row>
    <row r="2102" spans="9:10" x14ac:dyDescent="0.25">
      <c r="I2102" s="199"/>
      <c r="J2102" s="199"/>
    </row>
    <row r="2103" spans="9:10" x14ac:dyDescent="0.25">
      <c r="I2103" s="199"/>
      <c r="J2103" s="199"/>
    </row>
    <row r="2104" spans="9:10" x14ac:dyDescent="0.25">
      <c r="I2104" s="199"/>
      <c r="J2104" s="199"/>
    </row>
    <row r="2105" spans="9:10" x14ac:dyDescent="0.25">
      <c r="I2105" s="199"/>
      <c r="J2105" s="199"/>
    </row>
    <row r="2106" spans="9:10" x14ac:dyDescent="0.25">
      <c r="I2106" s="199"/>
      <c r="J2106" s="199"/>
    </row>
    <row r="2107" spans="9:10" x14ac:dyDescent="0.25">
      <c r="I2107" s="199"/>
      <c r="J2107" s="199"/>
    </row>
    <row r="2108" spans="9:10" x14ac:dyDescent="0.25">
      <c r="I2108" s="199"/>
      <c r="J2108" s="199"/>
    </row>
    <row r="2109" spans="9:10" x14ac:dyDescent="0.25">
      <c r="I2109" s="199"/>
      <c r="J2109" s="199"/>
    </row>
    <row r="2110" spans="9:10" x14ac:dyDescent="0.25">
      <c r="I2110" s="199"/>
      <c r="J2110" s="199"/>
    </row>
    <row r="2111" spans="9:10" x14ac:dyDescent="0.25">
      <c r="I2111" s="199"/>
      <c r="J2111" s="199"/>
    </row>
    <row r="2112" spans="9:10" x14ac:dyDescent="0.25">
      <c r="I2112" s="199"/>
      <c r="J2112" s="199"/>
    </row>
    <row r="2113" spans="9:10" x14ac:dyDescent="0.25">
      <c r="I2113" s="199"/>
      <c r="J2113" s="199"/>
    </row>
    <row r="2114" spans="9:10" x14ac:dyDescent="0.25">
      <c r="I2114" s="199"/>
      <c r="J2114" s="199"/>
    </row>
    <row r="2115" spans="9:10" x14ac:dyDescent="0.25">
      <c r="I2115" s="199"/>
      <c r="J2115" s="199"/>
    </row>
    <row r="2116" spans="9:10" x14ac:dyDescent="0.25">
      <c r="I2116" s="199"/>
      <c r="J2116" s="199"/>
    </row>
    <row r="2117" spans="9:10" x14ac:dyDescent="0.25">
      <c r="I2117" s="199"/>
      <c r="J2117" s="199"/>
    </row>
    <row r="2118" spans="9:10" x14ac:dyDescent="0.25">
      <c r="I2118" s="199"/>
      <c r="J2118" s="199"/>
    </row>
    <row r="2119" spans="9:10" x14ac:dyDescent="0.25">
      <c r="I2119" s="199"/>
      <c r="J2119" s="199"/>
    </row>
    <row r="2120" spans="9:10" x14ac:dyDescent="0.25">
      <c r="I2120" s="199"/>
      <c r="J2120" s="199"/>
    </row>
    <row r="2121" spans="9:10" x14ac:dyDescent="0.25">
      <c r="I2121" s="199"/>
      <c r="J2121" s="199"/>
    </row>
    <row r="2122" spans="9:10" x14ac:dyDescent="0.25">
      <c r="I2122" s="199"/>
      <c r="J2122" s="199"/>
    </row>
    <row r="2123" spans="9:10" x14ac:dyDescent="0.25">
      <c r="I2123" s="199"/>
      <c r="J2123" s="199"/>
    </row>
    <row r="2124" spans="9:10" x14ac:dyDescent="0.25">
      <c r="I2124" s="199"/>
      <c r="J2124" s="199"/>
    </row>
    <row r="2125" spans="9:10" x14ac:dyDescent="0.25">
      <c r="I2125" s="199"/>
      <c r="J2125" s="199"/>
    </row>
    <row r="2126" spans="9:10" x14ac:dyDescent="0.25">
      <c r="I2126" s="199"/>
      <c r="J2126" s="199"/>
    </row>
    <row r="2127" spans="9:10" x14ac:dyDescent="0.25">
      <c r="I2127" s="199"/>
      <c r="J2127" s="199"/>
    </row>
    <row r="2128" spans="9:10" x14ac:dyDescent="0.25">
      <c r="I2128" s="199"/>
      <c r="J2128" s="199"/>
    </row>
    <row r="2129" spans="9:10" x14ac:dyDescent="0.25">
      <c r="I2129" s="199"/>
      <c r="J2129" s="199"/>
    </row>
    <row r="2130" spans="9:10" x14ac:dyDescent="0.25">
      <c r="I2130" s="199"/>
      <c r="J2130" s="199"/>
    </row>
    <row r="2131" spans="9:10" x14ac:dyDescent="0.25">
      <c r="I2131" s="199"/>
      <c r="J2131" s="199"/>
    </row>
    <row r="2132" spans="9:10" x14ac:dyDescent="0.25">
      <c r="I2132" s="199"/>
      <c r="J2132" s="199"/>
    </row>
    <row r="2133" spans="9:10" x14ac:dyDescent="0.25">
      <c r="I2133" s="199"/>
      <c r="J2133" s="199"/>
    </row>
    <row r="2134" spans="9:10" x14ac:dyDescent="0.25">
      <c r="I2134" s="199"/>
      <c r="J2134" s="199"/>
    </row>
    <row r="2135" spans="9:10" x14ac:dyDescent="0.25">
      <c r="I2135" s="199"/>
      <c r="J2135" s="199"/>
    </row>
    <row r="2136" spans="9:10" x14ac:dyDescent="0.25">
      <c r="I2136" s="199"/>
      <c r="J2136" s="199"/>
    </row>
    <row r="2137" spans="9:10" x14ac:dyDescent="0.25">
      <c r="I2137" s="199"/>
      <c r="J2137" s="199"/>
    </row>
    <row r="2138" spans="9:10" x14ac:dyDescent="0.25">
      <c r="I2138" s="199"/>
      <c r="J2138" s="199"/>
    </row>
    <row r="2139" spans="9:10" x14ac:dyDescent="0.25">
      <c r="I2139" s="199"/>
      <c r="J2139" s="199"/>
    </row>
    <row r="2140" spans="9:10" x14ac:dyDescent="0.25">
      <c r="I2140" s="199"/>
      <c r="J2140" s="199"/>
    </row>
    <row r="2141" spans="9:10" x14ac:dyDescent="0.25">
      <c r="I2141" s="199"/>
      <c r="J2141" s="199"/>
    </row>
    <row r="2142" spans="9:10" x14ac:dyDescent="0.25">
      <c r="I2142" s="199"/>
      <c r="J2142" s="199"/>
    </row>
    <row r="2143" spans="9:10" x14ac:dyDescent="0.25">
      <c r="I2143" s="199"/>
      <c r="J2143" s="199"/>
    </row>
    <row r="2144" spans="9:10" x14ac:dyDescent="0.25">
      <c r="I2144" s="199"/>
      <c r="J2144" s="199"/>
    </row>
    <row r="2145" spans="9:10" x14ac:dyDescent="0.25">
      <c r="I2145" s="199"/>
      <c r="J2145" s="199"/>
    </row>
    <row r="2146" spans="9:10" x14ac:dyDescent="0.25">
      <c r="I2146" s="199"/>
      <c r="J2146" s="199"/>
    </row>
    <row r="2147" spans="9:10" x14ac:dyDescent="0.25">
      <c r="I2147" s="199"/>
      <c r="J2147" s="199"/>
    </row>
    <row r="2148" spans="9:10" x14ac:dyDescent="0.25">
      <c r="I2148" s="199"/>
      <c r="J2148" s="199"/>
    </row>
    <row r="2149" spans="9:10" x14ac:dyDescent="0.25">
      <c r="I2149" s="199"/>
      <c r="J2149" s="199"/>
    </row>
    <row r="2150" spans="9:10" x14ac:dyDescent="0.25">
      <c r="I2150" s="199"/>
      <c r="J2150" s="199"/>
    </row>
    <row r="2151" spans="9:10" x14ac:dyDescent="0.25">
      <c r="I2151" s="199"/>
      <c r="J2151" s="199"/>
    </row>
    <row r="2152" spans="9:10" x14ac:dyDescent="0.25">
      <c r="I2152" s="199"/>
      <c r="J2152" s="199"/>
    </row>
    <row r="2153" spans="9:10" x14ac:dyDescent="0.25">
      <c r="I2153" s="199"/>
      <c r="J2153" s="199"/>
    </row>
    <row r="2154" spans="9:10" x14ac:dyDescent="0.25">
      <c r="I2154" s="199"/>
      <c r="J2154" s="199"/>
    </row>
    <row r="2155" spans="9:10" x14ac:dyDescent="0.25">
      <c r="I2155" s="199"/>
      <c r="J2155" s="199"/>
    </row>
    <row r="2156" spans="9:10" x14ac:dyDescent="0.25">
      <c r="I2156" s="199"/>
      <c r="J2156" s="199"/>
    </row>
    <row r="2157" spans="9:10" x14ac:dyDescent="0.25">
      <c r="I2157" s="199"/>
      <c r="J2157" s="199"/>
    </row>
    <row r="2158" spans="9:10" x14ac:dyDescent="0.25">
      <c r="I2158" s="199"/>
      <c r="J2158" s="199"/>
    </row>
    <row r="2159" spans="9:10" x14ac:dyDescent="0.25">
      <c r="I2159" s="199"/>
      <c r="J2159" s="199"/>
    </row>
    <row r="2160" spans="9:10" x14ac:dyDescent="0.25">
      <c r="I2160" s="199"/>
      <c r="J2160" s="199"/>
    </row>
    <row r="2161" spans="9:10" x14ac:dyDescent="0.25">
      <c r="I2161" s="199"/>
      <c r="J2161" s="199"/>
    </row>
    <row r="2162" spans="9:10" x14ac:dyDescent="0.25">
      <c r="I2162" s="199"/>
      <c r="J2162" s="199"/>
    </row>
    <row r="2163" spans="9:10" x14ac:dyDescent="0.25">
      <c r="I2163" s="199"/>
      <c r="J2163" s="199"/>
    </row>
    <row r="2164" spans="9:10" x14ac:dyDescent="0.25">
      <c r="I2164" s="199"/>
      <c r="J2164" s="199"/>
    </row>
    <row r="2165" spans="9:10" x14ac:dyDescent="0.25">
      <c r="I2165" s="199"/>
      <c r="J2165" s="199"/>
    </row>
    <row r="2166" spans="9:10" x14ac:dyDescent="0.25">
      <c r="I2166" s="199"/>
      <c r="J2166" s="199"/>
    </row>
    <row r="2167" spans="9:10" x14ac:dyDescent="0.25">
      <c r="I2167" s="199"/>
      <c r="J2167" s="199"/>
    </row>
    <row r="2168" spans="9:10" x14ac:dyDescent="0.25">
      <c r="I2168" s="199"/>
      <c r="J2168" s="199"/>
    </row>
    <row r="2169" spans="9:10" x14ac:dyDescent="0.25">
      <c r="I2169" s="199"/>
      <c r="J2169" s="199"/>
    </row>
    <row r="2170" spans="9:10" x14ac:dyDescent="0.25">
      <c r="I2170" s="199"/>
      <c r="J2170" s="199"/>
    </row>
    <row r="2171" spans="9:10" x14ac:dyDescent="0.25">
      <c r="I2171" s="199"/>
      <c r="J2171" s="199"/>
    </row>
    <row r="2172" spans="9:10" x14ac:dyDescent="0.25">
      <c r="I2172" s="199"/>
      <c r="J2172" s="199"/>
    </row>
    <row r="2173" spans="9:10" x14ac:dyDescent="0.25">
      <c r="I2173" s="199"/>
      <c r="J2173" s="199"/>
    </row>
    <row r="2174" spans="9:10" x14ac:dyDescent="0.25">
      <c r="I2174" s="199"/>
      <c r="J2174" s="199"/>
    </row>
    <row r="2175" spans="9:10" x14ac:dyDescent="0.25">
      <c r="I2175" s="199"/>
      <c r="J2175" s="199"/>
    </row>
    <row r="2176" spans="9:10" x14ac:dyDescent="0.25">
      <c r="I2176" s="199"/>
      <c r="J2176" s="199"/>
    </row>
    <row r="2177" spans="9:10" x14ac:dyDescent="0.25">
      <c r="I2177" s="199"/>
      <c r="J2177" s="199"/>
    </row>
    <row r="2178" spans="9:10" x14ac:dyDescent="0.25">
      <c r="I2178" s="199"/>
      <c r="J2178" s="199"/>
    </row>
    <row r="2179" spans="9:10" x14ac:dyDescent="0.25">
      <c r="I2179" s="199"/>
      <c r="J2179" s="199"/>
    </row>
    <row r="2180" spans="9:10" x14ac:dyDescent="0.25">
      <c r="I2180" s="199"/>
      <c r="J2180" s="199"/>
    </row>
    <row r="2181" spans="9:10" x14ac:dyDescent="0.25">
      <c r="I2181" s="199"/>
      <c r="J2181" s="199"/>
    </row>
    <row r="2182" spans="9:10" x14ac:dyDescent="0.25">
      <c r="I2182" s="199"/>
      <c r="J2182" s="199"/>
    </row>
    <row r="2183" spans="9:10" x14ac:dyDescent="0.25">
      <c r="I2183" s="199"/>
      <c r="J2183" s="199"/>
    </row>
    <row r="2184" spans="9:10" x14ac:dyDescent="0.25">
      <c r="I2184" s="199"/>
      <c r="J2184" s="199"/>
    </row>
    <row r="2185" spans="9:10" x14ac:dyDescent="0.25">
      <c r="I2185" s="199"/>
      <c r="J2185" s="199"/>
    </row>
    <row r="2186" spans="9:10" x14ac:dyDescent="0.25">
      <c r="I2186" s="199"/>
      <c r="J2186" s="199"/>
    </row>
    <row r="2187" spans="9:10" x14ac:dyDescent="0.25">
      <c r="I2187" s="199"/>
      <c r="J2187" s="199"/>
    </row>
    <row r="2188" spans="9:10" x14ac:dyDescent="0.25">
      <c r="I2188" s="199"/>
      <c r="J2188" s="199"/>
    </row>
    <row r="2189" spans="9:10" x14ac:dyDescent="0.25">
      <c r="I2189" s="199"/>
      <c r="J2189" s="199"/>
    </row>
    <row r="2190" spans="9:10" x14ac:dyDescent="0.25">
      <c r="I2190" s="199"/>
      <c r="J2190" s="199"/>
    </row>
    <row r="2191" spans="9:10" x14ac:dyDescent="0.25">
      <c r="I2191" s="199"/>
      <c r="J2191" s="199"/>
    </row>
    <row r="2192" spans="9:10" x14ac:dyDescent="0.25">
      <c r="I2192" s="199"/>
      <c r="J2192" s="199"/>
    </row>
    <row r="2193" spans="9:10" x14ac:dyDescent="0.25">
      <c r="I2193" s="199"/>
      <c r="J2193" s="199"/>
    </row>
    <row r="2194" spans="9:10" x14ac:dyDescent="0.25">
      <c r="I2194" s="199"/>
      <c r="J2194" s="199"/>
    </row>
    <row r="2195" spans="9:10" x14ac:dyDescent="0.25">
      <c r="I2195" s="199"/>
      <c r="J2195" s="199"/>
    </row>
    <row r="2196" spans="9:10" x14ac:dyDescent="0.25">
      <c r="I2196" s="199"/>
      <c r="J2196" s="199"/>
    </row>
    <row r="2197" spans="9:10" x14ac:dyDescent="0.25">
      <c r="I2197" s="199"/>
      <c r="J2197" s="199"/>
    </row>
    <row r="2198" spans="9:10" x14ac:dyDescent="0.25">
      <c r="I2198" s="199"/>
      <c r="J2198" s="199"/>
    </row>
    <row r="2199" spans="9:10" x14ac:dyDescent="0.25">
      <c r="I2199" s="199"/>
      <c r="J2199" s="199"/>
    </row>
    <row r="2200" spans="9:10" x14ac:dyDescent="0.25">
      <c r="I2200" s="199"/>
      <c r="J2200" s="199"/>
    </row>
    <row r="2201" spans="9:10" x14ac:dyDescent="0.25">
      <c r="I2201" s="199"/>
      <c r="J2201" s="199"/>
    </row>
    <row r="2202" spans="9:10" x14ac:dyDescent="0.25">
      <c r="I2202" s="199"/>
      <c r="J2202" s="199"/>
    </row>
    <row r="2203" spans="9:10" x14ac:dyDescent="0.25">
      <c r="I2203" s="199"/>
      <c r="J2203" s="199"/>
    </row>
    <row r="2204" spans="9:10" x14ac:dyDescent="0.25">
      <c r="I2204" s="199"/>
      <c r="J2204" s="199"/>
    </row>
    <row r="2205" spans="9:10" x14ac:dyDescent="0.25">
      <c r="I2205" s="199"/>
      <c r="J2205" s="199"/>
    </row>
    <row r="2206" spans="9:10" x14ac:dyDescent="0.25">
      <c r="I2206" s="199"/>
      <c r="J2206" s="199"/>
    </row>
    <row r="2207" spans="9:10" x14ac:dyDescent="0.25">
      <c r="I2207" s="199"/>
      <c r="J2207" s="199"/>
    </row>
    <row r="2208" spans="9:10" x14ac:dyDescent="0.25">
      <c r="I2208" s="199"/>
      <c r="J2208" s="199"/>
    </row>
    <row r="2209" spans="9:10" x14ac:dyDescent="0.25">
      <c r="I2209" s="199"/>
      <c r="J2209" s="199"/>
    </row>
    <row r="2210" spans="9:10" x14ac:dyDescent="0.25">
      <c r="I2210" s="199"/>
      <c r="J2210" s="199"/>
    </row>
    <row r="2211" spans="9:10" x14ac:dyDescent="0.25">
      <c r="I2211" s="199"/>
      <c r="J2211" s="199"/>
    </row>
    <row r="2212" spans="9:10" x14ac:dyDescent="0.25">
      <c r="I2212" s="199"/>
      <c r="J2212" s="199"/>
    </row>
    <row r="2213" spans="9:10" x14ac:dyDescent="0.25">
      <c r="I2213" s="199"/>
      <c r="J2213" s="199"/>
    </row>
    <row r="2214" spans="9:10" x14ac:dyDescent="0.25">
      <c r="I2214" s="199"/>
      <c r="J2214" s="199"/>
    </row>
    <row r="2215" spans="9:10" x14ac:dyDescent="0.25">
      <c r="I2215" s="199"/>
      <c r="J2215" s="199"/>
    </row>
    <row r="2216" spans="9:10" x14ac:dyDescent="0.25">
      <c r="I2216" s="199"/>
      <c r="J2216" s="199"/>
    </row>
    <row r="2217" spans="9:10" x14ac:dyDescent="0.25">
      <c r="I2217" s="199"/>
      <c r="J2217" s="199"/>
    </row>
    <row r="2218" spans="9:10" x14ac:dyDescent="0.25">
      <c r="I2218" s="199"/>
      <c r="J2218" s="199"/>
    </row>
    <row r="2219" spans="9:10" x14ac:dyDescent="0.25">
      <c r="I2219" s="199"/>
      <c r="J2219" s="199"/>
    </row>
    <row r="2220" spans="9:10" x14ac:dyDescent="0.25">
      <c r="I2220" s="199"/>
      <c r="J2220" s="199"/>
    </row>
    <row r="2221" spans="9:10" x14ac:dyDescent="0.25">
      <c r="I2221" s="199"/>
      <c r="J2221" s="199"/>
    </row>
    <row r="2222" spans="9:10" x14ac:dyDescent="0.25">
      <c r="I2222" s="199"/>
      <c r="J2222" s="199"/>
    </row>
    <row r="2223" spans="9:10" x14ac:dyDescent="0.25">
      <c r="I2223" s="199"/>
      <c r="J2223" s="199"/>
    </row>
    <row r="2224" spans="9:10" x14ac:dyDescent="0.25">
      <c r="I2224" s="199"/>
      <c r="J2224" s="199"/>
    </row>
    <row r="2225" spans="9:10" x14ac:dyDescent="0.25">
      <c r="I2225" s="199"/>
      <c r="J2225" s="199"/>
    </row>
    <row r="2226" spans="9:10" x14ac:dyDescent="0.25">
      <c r="I2226" s="199"/>
      <c r="J2226" s="199"/>
    </row>
    <row r="2227" spans="9:10" x14ac:dyDescent="0.25">
      <c r="I2227" s="199"/>
      <c r="J2227" s="199"/>
    </row>
    <row r="2228" spans="9:10" x14ac:dyDescent="0.25">
      <c r="I2228" s="199"/>
      <c r="J2228" s="199"/>
    </row>
    <row r="2229" spans="9:10" x14ac:dyDescent="0.25">
      <c r="I2229" s="199"/>
      <c r="J2229" s="199"/>
    </row>
    <row r="2230" spans="9:10" x14ac:dyDescent="0.25">
      <c r="I2230" s="199"/>
      <c r="J2230" s="199"/>
    </row>
    <row r="2231" spans="9:10" x14ac:dyDescent="0.25">
      <c r="I2231" s="199"/>
      <c r="J2231" s="199"/>
    </row>
    <row r="2232" spans="9:10" x14ac:dyDescent="0.25">
      <c r="I2232" s="199"/>
      <c r="J2232" s="199"/>
    </row>
    <row r="2233" spans="9:10" x14ac:dyDescent="0.25">
      <c r="I2233" s="199"/>
      <c r="J2233" s="199"/>
    </row>
    <row r="2234" spans="9:10" x14ac:dyDescent="0.25">
      <c r="I2234" s="199"/>
      <c r="J2234" s="199"/>
    </row>
    <row r="2235" spans="9:10" x14ac:dyDescent="0.25">
      <c r="I2235" s="199"/>
      <c r="J2235" s="199"/>
    </row>
    <row r="2236" spans="9:10" x14ac:dyDescent="0.25">
      <c r="I2236" s="199"/>
      <c r="J2236" s="199"/>
    </row>
    <row r="2237" spans="9:10" x14ac:dyDescent="0.25">
      <c r="I2237" s="199"/>
      <c r="J2237" s="199"/>
    </row>
    <row r="2238" spans="9:10" x14ac:dyDescent="0.25">
      <c r="I2238" s="199"/>
      <c r="J2238" s="199"/>
    </row>
    <row r="2239" spans="9:10" x14ac:dyDescent="0.25">
      <c r="I2239" s="199"/>
      <c r="J2239" s="199"/>
    </row>
    <row r="2240" spans="9:10" x14ac:dyDescent="0.25">
      <c r="I2240" s="199"/>
      <c r="J2240" s="199"/>
    </row>
    <row r="2241" spans="9:10" x14ac:dyDescent="0.25">
      <c r="I2241" s="199"/>
      <c r="J2241" s="199"/>
    </row>
    <row r="2242" spans="9:10" x14ac:dyDescent="0.25">
      <c r="I2242" s="199"/>
      <c r="J2242" s="199"/>
    </row>
    <row r="2243" spans="9:10" x14ac:dyDescent="0.25">
      <c r="I2243" s="199"/>
      <c r="J2243" s="199"/>
    </row>
    <row r="2244" spans="9:10" x14ac:dyDescent="0.25">
      <c r="I2244" s="199"/>
      <c r="J2244" s="199"/>
    </row>
    <row r="2245" spans="9:10" x14ac:dyDescent="0.25">
      <c r="I2245" s="199"/>
      <c r="J2245" s="199"/>
    </row>
    <row r="2246" spans="9:10" x14ac:dyDescent="0.25">
      <c r="I2246" s="199"/>
      <c r="J2246" s="199"/>
    </row>
    <row r="2247" spans="9:10" x14ac:dyDescent="0.25">
      <c r="I2247" s="199"/>
      <c r="J2247" s="199"/>
    </row>
    <row r="2248" spans="9:10" x14ac:dyDescent="0.25">
      <c r="I2248" s="199"/>
      <c r="J2248" s="199"/>
    </row>
    <row r="2249" spans="9:10" x14ac:dyDescent="0.25">
      <c r="I2249" s="199"/>
      <c r="J2249" s="199"/>
    </row>
    <row r="2250" spans="9:10" x14ac:dyDescent="0.25">
      <c r="I2250" s="199"/>
      <c r="J2250" s="199"/>
    </row>
    <row r="2251" spans="9:10" x14ac:dyDescent="0.25">
      <c r="I2251" s="199"/>
      <c r="J2251" s="199"/>
    </row>
    <row r="2252" spans="9:10" x14ac:dyDescent="0.25">
      <c r="I2252" s="199"/>
      <c r="J2252" s="199"/>
    </row>
    <row r="2253" spans="9:10" x14ac:dyDescent="0.25">
      <c r="I2253" s="199"/>
      <c r="J2253" s="199"/>
    </row>
    <row r="2254" spans="9:10" x14ac:dyDescent="0.25">
      <c r="I2254" s="199"/>
      <c r="J2254" s="199"/>
    </row>
    <row r="2255" spans="9:10" x14ac:dyDescent="0.25">
      <c r="I2255" s="199"/>
      <c r="J2255" s="199"/>
    </row>
    <row r="2256" spans="9:10" x14ac:dyDescent="0.25">
      <c r="I2256" s="199"/>
      <c r="J2256" s="199"/>
    </row>
    <row r="2257" spans="9:10" x14ac:dyDescent="0.25">
      <c r="I2257" s="199"/>
      <c r="J2257" s="199"/>
    </row>
    <row r="2258" spans="9:10" x14ac:dyDescent="0.25">
      <c r="I2258" s="199"/>
      <c r="J2258" s="199"/>
    </row>
    <row r="2259" spans="9:10" x14ac:dyDescent="0.25">
      <c r="I2259" s="199"/>
      <c r="J2259" s="199"/>
    </row>
    <row r="2260" spans="9:10" x14ac:dyDescent="0.25">
      <c r="I2260" s="199"/>
      <c r="J2260" s="199"/>
    </row>
    <row r="2261" spans="9:10" x14ac:dyDescent="0.25">
      <c r="I2261" s="199"/>
      <c r="J2261" s="199"/>
    </row>
    <row r="2262" spans="9:10" x14ac:dyDescent="0.25">
      <c r="I2262" s="199"/>
      <c r="J2262" s="199"/>
    </row>
    <row r="2263" spans="9:10" x14ac:dyDescent="0.25">
      <c r="I2263" s="199"/>
      <c r="J2263" s="199"/>
    </row>
    <row r="2264" spans="9:10" x14ac:dyDescent="0.25">
      <c r="I2264" s="199"/>
      <c r="J2264" s="199"/>
    </row>
    <row r="2265" spans="9:10" x14ac:dyDescent="0.25">
      <c r="I2265" s="199"/>
      <c r="J2265" s="199"/>
    </row>
    <row r="2266" spans="9:10" x14ac:dyDescent="0.25">
      <c r="I2266" s="199"/>
      <c r="J2266" s="199"/>
    </row>
    <row r="2267" spans="9:10" x14ac:dyDescent="0.25">
      <c r="I2267" s="199"/>
      <c r="J2267" s="199"/>
    </row>
    <row r="2268" spans="9:10" x14ac:dyDescent="0.25">
      <c r="I2268" s="199"/>
      <c r="J2268" s="199"/>
    </row>
    <row r="2269" spans="9:10" x14ac:dyDescent="0.25">
      <c r="I2269" s="199"/>
      <c r="J2269" s="199"/>
    </row>
    <row r="2270" spans="9:10" x14ac:dyDescent="0.25">
      <c r="I2270" s="199"/>
      <c r="J2270" s="199"/>
    </row>
    <row r="2271" spans="9:10" x14ac:dyDescent="0.25">
      <c r="I2271" s="199"/>
      <c r="J2271" s="199"/>
    </row>
    <row r="2272" spans="9:10" x14ac:dyDescent="0.25">
      <c r="I2272" s="199"/>
      <c r="J2272" s="199"/>
    </row>
    <row r="2273" spans="9:10" x14ac:dyDescent="0.25">
      <c r="I2273" s="199"/>
      <c r="J2273" s="199"/>
    </row>
    <row r="2274" spans="9:10" x14ac:dyDescent="0.25">
      <c r="I2274" s="199"/>
      <c r="J2274" s="199"/>
    </row>
    <row r="2275" spans="9:10" x14ac:dyDescent="0.25">
      <c r="I2275" s="199"/>
      <c r="J2275" s="199"/>
    </row>
    <row r="2276" spans="9:10" x14ac:dyDescent="0.25">
      <c r="I2276" s="199"/>
      <c r="J2276" s="199"/>
    </row>
    <row r="2277" spans="9:10" x14ac:dyDescent="0.25">
      <c r="I2277" s="199"/>
      <c r="J2277" s="199"/>
    </row>
    <row r="2278" spans="9:10" x14ac:dyDescent="0.25">
      <c r="I2278" s="199"/>
      <c r="J2278" s="199"/>
    </row>
    <row r="2279" spans="9:10" x14ac:dyDescent="0.25">
      <c r="I2279" s="199"/>
      <c r="J2279" s="199"/>
    </row>
    <row r="2280" spans="9:10" x14ac:dyDescent="0.25">
      <c r="I2280" s="199"/>
      <c r="J2280" s="199"/>
    </row>
    <row r="2281" spans="9:10" x14ac:dyDescent="0.25">
      <c r="I2281" s="199"/>
      <c r="J2281" s="199"/>
    </row>
    <row r="2282" spans="9:10" x14ac:dyDescent="0.25">
      <c r="I2282" s="199"/>
      <c r="J2282" s="199"/>
    </row>
    <row r="2283" spans="9:10" x14ac:dyDescent="0.25">
      <c r="I2283" s="199"/>
      <c r="J2283" s="199"/>
    </row>
    <row r="2284" spans="9:10" x14ac:dyDescent="0.25">
      <c r="I2284" s="199"/>
      <c r="J2284" s="199"/>
    </row>
    <row r="2285" spans="9:10" x14ac:dyDescent="0.25">
      <c r="I2285" s="199"/>
      <c r="J2285" s="199"/>
    </row>
    <row r="2286" spans="9:10" x14ac:dyDescent="0.25">
      <c r="I2286" s="199"/>
      <c r="J2286" s="199"/>
    </row>
    <row r="2287" spans="9:10" x14ac:dyDescent="0.25">
      <c r="I2287" s="199"/>
      <c r="J2287" s="199"/>
    </row>
    <row r="2288" spans="9:10" x14ac:dyDescent="0.25">
      <c r="I2288" s="199"/>
      <c r="J2288" s="199"/>
    </row>
    <row r="2289" spans="9:10" x14ac:dyDescent="0.25">
      <c r="I2289" s="199"/>
      <c r="J2289" s="199"/>
    </row>
    <row r="2290" spans="9:10" x14ac:dyDescent="0.25">
      <c r="I2290" s="199"/>
      <c r="J2290" s="199"/>
    </row>
    <row r="2291" spans="9:10" x14ac:dyDescent="0.25">
      <c r="I2291" s="199"/>
      <c r="J2291" s="199"/>
    </row>
    <row r="2292" spans="9:10" x14ac:dyDescent="0.25">
      <c r="I2292" s="199"/>
      <c r="J2292" s="199"/>
    </row>
    <row r="2293" spans="9:10" x14ac:dyDescent="0.25">
      <c r="I2293" s="199"/>
      <c r="J2293" s="199"/>
    </row>
    <row r="2294" spans="9:10" x14ac:dyDescent="0.25">
      <c r="I2294" s="199"/>
      <c r="J2294" s="199"/>
    </row>
    <row r="2295" spans="9:10" x14ac:dyDescent="0.25">
      <c r="I2295" s="199"/>
      <c r="J2295" s="199"/>
    </row>
    <row r="2296" spans="9:10" x14ac:dyDescent="0.25">
      <c r="I2296" s="199"/>
      <c r="J2296" s="199"/>
    </row>
    <row r="2297" spans="9:10" x14ac:dyDescent="0.25">
      <c r="I2297" s="199"/>
      <c r="J2297" s="199"/>
    </row>
    <row r="2298" spans="9:10" x14ac:dyDescent="0.25">
      <c r="I2298" s="199"/>
      <c r="J2298" s="199"/>
    </row>
    <row r="2299" spans="9:10" x14ac:dyDescent="0.25">
      <c r="I2299" s="199"/>
      <c r="J2299" s="199"/>
    </row>
    <row r="2300" spans="9:10" x14ac:dyDescent="0.25">
      <c r="I2300" s="199"/>
      <c r="J2300" s="199"/>
    </row>
    <row r="2301" spans="9:10" x14ac:dyDescent="0.25">
      <c r="I2301" s="199"/>
      <c r="J2301" s="199"/>
    </row>
    <row r="2302" spans="9:10" x14ac:dyDescent="0.25">
      <c r="I2302" s="199"/>
      <c r="J2302" s="199"/>
    </row>
    <row r="2303" spans="9:10" x14ac:dyDescent="0.25">
      <c r="I2303" s="199"/>
      <c r="J2303" s="199"/>
    </row>
    <row r="2304" spans="9:10" x14ac:dyDescent="0.25">
      <c r="I2304" s="199"/>
      <c r="J2304" s="199"/>
    </row>
    <row r="2305" spans="9:10" x14ac:dyDescent="0.25">
      <c r="I2305" s="199"/>
      <c r="J2305" s="199"/>
    </row>
    <row r="2306" spans="9:10" x14ac:dyDescent="0.25">
      <c r="I2306" s="199"/>
      <c r="J2306" s="199"/>
    </row>
    <row r="2307" spans="9:10" x14ac:dyDescent="0.25">
      <c r="I2307" s="199"/>
      <c r="J2307" s="199"/>
    </row>
    <row r="2308" spans="9:10" x14ac:dyDescent="0.25">
      <c r="I2308" s="199"/>
      <c r="J2308" s="199"/>
    </row>
    <row r="2309" spans="9:10" x14ac:dyDescent="0.25">
      <c r="I2309" s="199"/>
      <c r="J2309" s="199"/>
    </row>
    <row r="2310" spans="9:10" x14ac:dyDescent="0.25">
      <c r="I2310" s="199"/>
      <c r="J2310" s="199"/>
    </row>
    <row r="2311" spans="9:10" x14ac:dyDescent="0.25">
      <c r="I2311" s="199"/>
      <c r="J2311" s="199"/>
    </row>
    <row r="2312" spans="9:10" x14ac:dyDescent="0.25">
      <c r="I2312" s="199"/>
      <c r="J2312" s="199"/>
    </row>
    <row r="2313" spans="9:10" x14ac:dyDescent="0.25">
      <c r="I2313" s="199"/>
      <c r="J2313" s="199"/>
    </row>
    <row r="2314" spans="9:10" x14ac:dyDescent="0.25">
      <c r="I2314" s="199"/>
      <c r="J2314" s="199"/>
    </row>
    <row r="2315" spans="9:10" x14ac:dyDescent="0.25">
      <c r="I2315" s="199"/>
      <c r="J2315" s="199"/>
    </row>
    <row r="2316" spans="9:10" x14ac:dyDescent="0.25">
      <c r="I2316" s="199"/>
      <c r="J2316" s="199"/>
    </row>
    <row r="2317" spans="9:10" x14ac:dyDescent="0.25">
      <c r="I2317" s="199"/>
      <c r="J2317" s="199"/>
    </row>
    <row r="2318" spans="9:10" x14ac:dyDescent="0.25">
      <c r="I2318" s="199"/>
      <c r="J2318" s="199"/>
    </row>
    <row r="2319" spans="9:10" x14ac:dyDescent="0.25">
      <c r="I2319" s="199"/>
      <c r="J2319" s="199"/>
    </row>
    <row r="2320" spans="9:10" x14ac:dyDescent="0.25">
      <c r="I2320" s="199"/>
      <c r="J2320" s="199"/>
    </row>
    <row r="2321" spans="9:10" x14ac:dyDescent="0.25">
      <c r="I2321" s="199"/>
      <c r="J2321" s="199"/>
    </row>
    <row r="2322" spans="9:10" x14ac:dyDescent="0.25">
      <c r="I2322" s="199"/>
      <c r="J2322" s="199"/>
    </row>
    <row r="2323" spans="9:10" x14ac:dyDescent="0.25">
      <c r="I2323" s="199"/>
      <c r="J2323" s="199"/>
    </row>
    <row r="2324" spans="9:10" x14ac:dyDescent="0.25">
      <c r="I2324" s="199"/>
      <c r="J2324" s="199"/>
    </row>
    <row r="2325" spans="9:10" x14ac:dyDescent="0.25">
      <c r="I2325" s="199"/>
      <c r="J2325" s="199"/>
    </row>
    <row r="2326" spans="9:10" x14ac:dyDescent="0.25">
      <c r="I2326" s="199"/>
      <c r="J2326" s="199"/>
    </row>
    <row r="2327" spans="9:10" x14ac:dyDescent="0.25">
      <c r="I2327" s="199"/>
      <c r="J2327" s="199"/>
    </row>
    <row r="2328" spans="9:10" x14ac:dyDescent="0.25">
      <c r="I2328" s="199"/>
      <c r="J2328" s="199"/>
    </row>
    <row r="2329" spans="9:10" x14ac:dyDescent="0.25">
      <c r="I2329" s="199"/>
      <c r="J2329" s="199"/>
    </row>
    <row r="2330" spans="9:10" x14ac:dyDescent="0.25">
      <c r="I2330" s="199"/>
      <c r="J2330" s="199"/>
    </row>
    <row r="2331" spans="9:10" x14ac:dyDescent="0.25">
      <c r="I2331" s="199"/>
      <c r="J2331" s="199"/>
    </row>
    <row r="2332" spans="9:10" x14ac:dyDescent="0.25">
      <c r="I2332" s="199"/>
      <c r="J2332" s="199"/>
    </row>
    <row r="2333" spans="9:10" x14ac:dyDescent="0.25">
      <c r="I2333" s="199"/>
      <c r="J2333" s="199"/>
    </row>
    <row r="2334" spans="9:10" x14ac:dyDescent="0.25">
      <c r="I2334" s="199"/>
      <c r="J2334" s="199"/>
    </row>
    <row r="2335" spans="9:10" x14ac:dyDescent="0.25">
      <c r="I2335" s="199"/>
      <c r="J2335" s="199"/>
    </row>
    <row r="2336" spans="9:10" x14ac:dyDescent="0.25">
      <c r="I2336" s="199"/>
      <c r="J2336" s="199"/>
    </row>
    <row r="2337" spans="9:10" x14ac:dyDescent="0.25">
      <c r="I2337" s="199"/>
      <c r="J2337" s="199"/>
    </row>
    <row r="2338" spans="9:10" x14ac:dyDescent="0.25">
      <c r="I2338" s="199"/>
      <c r="J2338" s="199"/>
    </row>
    <row r="2339" spans="9:10" x14ac:dyDescent="0.25">
      <c r="I2339" s="199"/>
      <c r="J2339" s="199"/>
    </row>
    <row r="2340" spans="9:10" x14ac:dyDescent="0.25">
      <c r="I2340" s="199"/>
      <c r="J2340" s="199"/>
    </row>
    <row r="2341" spans="9:10" x14ac:dyDescent="0.25">
      <c r="I2341" s="199"/>
      <c r="J2341" s="199"/>
    </row>
    <row r="2342" spans="9:10" x14ac:dyDescent="0.25">
      <c r="I2342" s="199"/>
      <c r="J2342" s="199"/>
    </row>
    <row r="2343" spans="9:10" x14ac:dyDescent="0.25">
      <c r="I2343" s="199"/>
      <c r="J2343" s="199"/>
    </row>
    <row r="2344" spans="9:10" x14ac:dyDescent="0.25">
      <c r="I2344" s="199"/>
      <c r="J2344" s="199"/>
    </row>
    <row r="2345" spans="9:10" x14ac:dyDescent="0.25">
      <c r="I2345" s="199"/>
      <c r="J2345" s="199"/>
    </row>
    <row r="2346" spans="9:10" x14ac:dyDescent="0.25">
      <c r="I2346" s="199"/>
      <c r="J2346" s="199"/>
    </row>
    <row r="2347" spans="9:10" x14ac:dyDescent="0.25">
      <c r="I2347" s="199"/>
      <c r="J2347" s="199"/>
    </row>
    <row r="2348" spans="9:10" x14ac:dyDescent="0.25">
      <c r="I2348" s="199"/>
      <c r="J2348" s="199"/>
    </row>
    <row r="2349" spans="9:10" x14ac:dyDescent="0.25">
      <c r="I2349" s="199"/>
      <c r="J2349" s="199"/>
    </row>
    <row r="2350" spans="9:10" x14ac:dyDescent="0.25">
      <c r="I2350" s="199"/>
      <c r="J2350" s="199"/>
    </row>
    <row r="2351" spans="9:10" x14ac:dyDescent="0.25">
      <c r="I2351" s="199"/>
      <c r="J2351" s="199"/>
    </row>
    <row r="2352" spans="9:10" x14ac:dyDescent="0.25">
      <c r="I2352" s="199"/>
      <c r="J2352" s="199"/>
    </row>
    <row r="2353" spans="9:10" x14ac:dyDescent="0.25">
      <c r="I2353" s="199"/>
      <c r="J2353" s="199"/>
    </row>
    <row r="2354" spans="9:10" x14ac:dyDescent="0.25">
      <c r="I2354" s="199"/>
      <c r="J2354" s="199"/>
    </row>
    <row r="2355" spans="9:10" x14ac:dyDescent="0.25">
      <c r="I2355" s="199"/>
      <c r="J2355" s="199"/>
    </row>
    <row r="2356" spans="9:10" x14ac:dyDescent="0.25">
      <c r="I2356" s="199"/>
      <c r="J2356" s="199"/>
    </row>
    <row r="2357" spans="9:10" x14ac:dyDescent="0.25">
      <c r="I2357" s="199"/>
      <c r="J2357" s="199"/>
    </row>
    <row r="2358" spans="9:10" x14ac:dyDescent="0.25">
      <c r="I2358" s="199"/>
      <c r="J2358" s="199"/>
    </row>
    <row r="2359" spans="9:10" x14ac:dyDescent="0.25">
      <c r="I2359" s="199"/>
      <c r="J2359" s="199"/>
    </row>
    <row r="2360" spans="9:10" x14ac:dyDescent="0.25">
      <c r="I2360" s="199"/>
      <c r="J2360" s="199"/>
    </row>
    <row r="2361" spans="9:10" x14ac:dyDescent="0.25">
      <c r="I2361" s="199"/>
      <c r="J2361" s="199"/>
    </row>
    <row r="2362" spans="9:10" x14ac:dyDescent="0.25">
      <c r="I2362" s="199"/>
      <c r="J2362" s="199"/>
    </row>
    <row r="2363" spans="9:10" x14ac:dyDescent="0.25">
      <c r="I2363" s="199"/>
      <c r="J2363" s="199"/>
    </row>
    <row r="2364" spans="9:10" x14ac:dyDescent="0.25">
      <c r="I2364" s="199"/>
      <c r="J2364" s="199"/>
    </row>
    <row r="2365" spans="9:10" x14ac:dyDescent="0.25">
      <c r="I2365" s="199"/>
      <c r="J2365" s="199"/>
    </row>
    <row r="2366" spans="9:10" x14ac:dyDescent="0.25">
      <c r="I2366" s="199"/>
      <c r="J2366" s="199"/>
    </row>
    <row r="2367" spans="9:10" x14ac:dyDescent="0.25">
      <c r="I2367" s="199"/>
      <c r="J2367" s="199"/>
    </row>
    <row r="2368" spans="9:10" x14ac:dyDescent="0.25">
      <c r="I2368" s="199"/>
      <c r="J2368" s="199"/>
    </row>
    <row r="2369" spans="9:10" x14ac:dyDescent="0.25">
      <c r="I2369" s="199"/>
      <c r="J2369" s="199"/>
    </row>
    <row r="2370" spans="9:10" x14ac:dyDescent="0.25">
      <c r="I2370" s="199"/>
      <c r="J2370" s="199"/>
    </row>
    <row r="2371" spans="9:10" x14ac:dyDescent="0.25">
      <c r="I2371" s="199"/>
      <c r="J2371" s="199"/>
    </row>
    <row r="2372" spans="9:10" x14ac:dyDescent="0.25">
      <c r="I2372" s="199"/>
      <c r="J2372" s="199"/>
    </row>
    <row r="2373" spans="9:10" x14ac:dyDescent="0.25">
      <c r="I2373" s="199"/>
      <c r="J2373" s="199"/>
    </row>
    <row r="2374" spans="9:10" x14ac:dyDescent="0.25">
      <c r="I2374" s="199"/>
      <c r="J2374" s="199"/>
    </row>
    <row r="2375" spans="9:10" x14ac:dyDescent="0.25">
      <c r="I2375" s="199"/>
      <c r="J2375" s="199"/>
    </row>
    <row r="2376" spans="9:10" x14ac:dyDescent="0.25">
      <c r="I2376" s="199"/>
      <c r="J2376" s="199"/>
    </row>
    <row r="2377" spans="9:10" x14ac:dyDescent="0.25">
      <c r="I2377" s="199"/>
      <c r="J2377" s="199"/>
    </row>
    <row r="2378" spans="9:10" x14ac:dyDescent="0.25">
      <c r="I2378" s="199"/>
      <c r="J2378" s="199"/>
    </row>
    <row r="2379" spans="9:10" x14ac:dyDescent="0.25">
      <c r="I2379" s="199"/>
      <c r="J2379" s="199"/>
    </row>
    <row r="2380" spans="9:10" x14ac:dyDescent="0.25">
      <c r="I2380" s="199"/>
      <c r="J2380" s="199"/>
    </row>
    <row r="2381" spans="9:10" x14ac:dyDescent="0.25">
      <c r="I2381" s="199"/>
      <c r="J2381" s="199"/>
    </row>
    <row r="2382" spans="9:10" x14ac:dyDescent="0.25">
      <c r="I2382" s="199"/>
      <c r="J2382" s="199"/>
    </row>
    <row r="2383" spans="9:10" x14ac:dyDescent="0.25">
      <c r="I2383" s="199"/>
      <c r="J2383" s="199"/>
    </row>
    <row r="2384" spans="9:10" x14ac:dyDescent="0.25">
      <c r="I2384" s="199"/>
      <c r="J2384" s="199"/>
    </row>
    <row r="2385" spans="9:10" x14ac:dyDescent="0.25">
      <c r="I2385" s="199"/>
      <c r="J2385" s="199"/>
    </row>
    <row r="2386" spans="9:10" x14ac:dyDescent="0.25">
      <c r="I2386" s="199"/>
      <c r="J2386" s="199"/>
    </row>
    <row r="2387" spans="9:10" x14ac:dyDescent="0.25">
      <c r="I2387" s="199"/>
      <c r="J2387" s="199"/>
    </row>
    <row r="2388" spans="9:10" x14ac:dyDescent="0.25">
      <c r="I2388" s="199"/>
      <c r="J2388" s="199"/>
    </row>
    <row r="2389" spans="9:10" x14ac:dyDescent="0.25">
      <c r="I2389" s="199"/>
      <c r="J2389" s="199"/>
    </row>
    <row r="2390" spans="9:10" x14ac:dyDescent="0.25">
      <c r="I2390" s="199"/>
      <c r="J2390" s="199"/>
    </row>
    <row r="2391" spans="9:10" x14ac:dyDescent="0.25">
      <c r="I2391" s="199"/>
      <c r="J2391" s="199"/>
    </row>
    <row r="2392" spans="9:10" x14ac:dyDescent="0.25">
      <c r="I2392" s="199"/>
      <c r="J2392" s="199"/>
    </row>
    <row r="2393" spans="9:10" x14ac:dyDescent="0.25">
      <c r="I2393" s="199"/>
      <c r="J2393" s="199"/>
    </row>
    <row r="2394" spans="9:10" x14ac:dyDescent="0.25">
      <c r="I2394" s="199"/>
      <c r="J2394" s="199"/>
    </row>
    <row r="2395" spans="9:10" x14ac:dyDescent="0.25">
      <c r="I2395" s="199"/>
      <c r="J2395" s="199"/>
    </row>
    <row r="2396" spans="9:10" x14ac:dyDescent="0.25">
      <c r="I2396" s="199"/>
      <c r="J2396" s="199"/>
    </row>
    <row r="2397" spans="9:10" x14ac:dyDescent="0.25">
      <c r="I2397" s="199"/>
      <c r="J2397" s="199"/>
    </row>
    <row r="2398" spans="9:10" x14ac:dyDescent="0.25">
      <c r="I2398" s="199"/>
      <c r="J2398" s="199"/>
    </row>
    <row r="2399" spans="9:10" x14ac:dyDescent="0.25">
      <c r="I2399" s="199"/>
      <c r="J2399" s="199"/>
    </row>
    <row r="2400" spans="9:10" x14ac:dyDescent="0.25">
      <c r="I2400" s="199"/>
      <c r="J2400" s="199"/>
    </row>
    <row r="2401" spans="9:10" x14ac:dyDescent="0.25">
      <c r="I2401" s="199"/>
      <c r="J2401" s="199"/>
    </row>
    <row r="2402" spans="9:10" x14ac:dyDescent="0.25">
      <c r="I2402" s="199"/>
      <c r="J2402" s="199"/>
    </row>
    <row r="2403" spans="9:10" x14ac:dyDescent="0.25">
      <c r="I2403" s="199"/>
      <c r="J2403" s="199"/>
    </row>
    <row r="2404" spans="9:10" x14ac:dyDescent="0.25">
      <c r="I2404" s="199"/>
      <c r="J2404" s="199"/>
    </row>
    <row r="2405" spans="9:10" x14ac:dyDescent="0.25">
      <c r="I2405" s="199"/>
      <c r="J2405" s="199"/>
    </row>
    <row r="2406" spans="9:10" x14ac:dyDescent="0.25">
      <c r="I2406" s="199"/>
      <c r="J2406" s="199"/>
    </row>
    <row r="2407" spans="9:10" x14ac:dyDescent="0.25">
      <c r="I2407" s="199"/>
      <c r="J2407" s="199"/>
    </row>
    <row r="2408" spans="9:10" x14ac:dyDescent="0.25">
      <c r="I2408" s="199"/>
      <c r="J2408" s="199"/>
    </row>
    <row r="2409" spans="9:10" x14ac:dyDescent="0.25">
      <c r="I2409" s="199"/>
      <c r="J2409" s="199"/>
    </row>
    <row r="2410" spans="9:10" x14ac:dyDescent="0.25">
      <c r="I2410" s="199"/>
      <c r="J2410" s="199"/>
    </row>
    <row r="2411" spans="9:10" x14ac:dyDescent="0.25">
      <c r="I2411" s="199"/>
      <c r="J2411" s="199"/>
    </row>
    <row r="2412" spans="9:10" x14ac:dyDescent="0.25">
      <c r="I2412" s="199"/>
      <c r="J2412" s="199"/>
    </row>
    <row r="2413" spans="9:10" x14ac:dyDescent="0.25">
      <c r="I2413" s="199"/>
      <c r="J2413" s="199"/>
    </row>
    <row r="2414" spans="9:10" x14ac:dyDescent="0.25">
      <c r="I2414" s="199"/>
      <c r="J2414" s="199"/>
    </row>
    <row r="2415" spans="9:10" x14ac:dyDescent="0.25">
      <c r="I2415" s="199"/>
      <c r="J2415" s="199"/>
    </row>
    <row r="2416" spans="9:10" x14ac:dyDescent="0.25">
      <c r="I2416" s="199"/>
      <c r="J2416" s="199"/>
    </row>
    <row r="2417" spans="9:10" x14ac:dyDescent="0.25">
      <c r="I2417" s="199"/>
      <c r="J2417" s="199"/>
    </row>
    <row r="2418" spans="9:10" x14ac:dyDescent="0.25">
      <c r="I2418" s="199"/>
      <c r="J2418" s="199"/>
    </row>
    <row r="2419" spans="9:10" x14ac:dyDescent="0.25">
      <c r="I2419" s="199"/>
      <c r="J2419" s="199"/>
    </row>
    <row r="2420" spans="9:10" x14ac:dyDescent="0.25">
      <c r="I2420" s="199"/>
      <c r="J2420" s="199"/>
    </row>
    <row r="2421" spans="9:10" x14ac:dyDescent="0.25">
      <c r="I2421" s="199"/>
      <c r="J2421" s="199"/>
    </row>
    <row r="2422" spans="9:10" x14ac:dyDescent="0.25">
      <c r="I2422" s="199"/>
      <c r="J2422" s="199"/>
    </row>
    <row r="2423" spans="9:10" x14ac:dyDescent="0.25">
      <c r="I2423" s="199"/>
      <c r="J2423" s="199"/>
    </row>
    <row r="2424" spans="9:10" x14ac:dyDescent="0.25">
      <c r="I2424" s="199"/>
      <c r="J2424" s="199"/>
    </row>
    <row r="2425" spans="9:10" x14ac:dyDescent="0.25">
      <c r="I2425" s="199"/>
      <c r="J2425" s="199"/>
    </row>
    <row r="2426" spans="9:10" x14ac:dyDescent="0.25">
      <c r="I2426" s="199"/>
      <c r="J2426" s="199"/>
    </row>
    <row r="2427" spans="9:10" x14ac:dyDescent="0.25">
      <c r="I2427" s="199"/>
      <c r="J2427" s="199"/>
    </row>
    <row r="2428" spans="9:10" x14ac:dyDescent="0.25">
      <c r="I2428" s="199"/>
      <c r="J2428" s="199"/>
    </row>
    <row r="2429" spans="9:10" x14ac:dyDescent="0.25">
      <c r="I2429" s="199"/>
      <c r="J2429" s="199"/>
    </row>
    <row r="2430" spans="9:10" x14ac:dyDescent="0.25">
      <c r="I2430" s="199"/>
      <c r="J2430" s="199"/>
    </row>
    <row r="2431" spans="9:10" x14ac:dyDescent="0.25">
      <c r="I2431" s="199"/>
      <c r="J2431" s="199"/>
    </row>
    <row r="2432" spans="9:10" x14ac:dyDescent="0.25">
      <c r="I2432" s="199"/>
      <c r="J2432" s="199"/>
    </row>
    <row r="2433" spans="9:10" x14ac:dyDescent="0.25">
      <c r="I2433" s="199"/>
      <c r="J2433" s="199"/>
    </row>
    <row r="2434" spans="9:10" x14ac:dyDescent="0.25">
      <c r="I2434" s="199"/>
      <c r="J2434" s="199"/>
    </row>
    <row r="2435" spans="9:10" x14ac:dyDescent="0.25">
      <c r="I2435" s="199"/>
      <c r="J2435" s="199"/>
    </row>
    <row r="2436" spans="9:10" x14ac:dyDescent="0.25">
      <c r="I2436" s="199"/>
      <c r="J2436" s="199"/>
    </row>
    <row r="2437" spans="9:10" x14ac:dyDescent="0.25">
      <c r="I2437" s="199"/>
      <c r="J2437" s="199"/>
    </row>
    <row r="2438" spans="9:10" x14ac:dyDescent="0.25">
      <c r="I2438" s="199"/>
      <c r="J2438" s="199"/>
    </row>
    <row r="2439" spans="9:10" x14ac:dyDescent="0.25">
      <c r="I2439" s="199"/>
      <c r="J2439" s="199"/>
    </row>
    <row r="2440" spans="9:10" x14ac:dyDescent="0.25">
      <c r="I2440" s="199"/>
      <c r="J2440" s="199"/>
    </row>
    <row r="2441" spans="9:10" x14ac:dyDescent="0.25">
      <c r="I2441" s="199"/>
      <c r="J2441" s="199"/>
    </row>
    <row r="2442" spans="9:10" x14ac:dyDescent="0.25">
      <c r="I2442" s="199"/>
      <c r="J2442" s="199"/>
    </row>
    <row r="2443" spans="9:10" x14ac:dyDescent="0.25">
      <c r="I2443" s="199"/>
      <c r="J2443" s="199"/>
    </row>
    <row r="2444" spans="9:10" x14ac:dyDescent="0.25">
      <c r="I2444" s="199"/>
      <c r="J2444" s="199"/>
    </row>
    <row r="2445" spans="9:10" x14ac:dyDescent="0.25">
      <c r="I2445" s="199"/>
      <c r="J2445" s="199"/>
    </row>
    <row r="2446" spans="9:10" x14ac:dyDescent="0.25">
      <c r="I2446" s="199"/>
      <c r="J2446" s="199"/>
    </row>
    <row r="2447" spans="9:10" x14ac:dyDescent="0.25">
      <c r="I2447" s="199"/>
      <c r="J2447" s="199"/>
    </row>
    <row r="2448" spans="9:10" x14ac:dyDescent="0.25">
      <c r="I2448" s="199"/>
      <c r="J2448" s="199"/>
    </row>
    <row r="2449" spans="9:10" x14ac:dyDescent="0.25">
      <c r="I2449" s="199"/>
      <c r="J2449" s="199"/>
    </row>
    <row r="2450" spans="9:10" x14ac:dyDescent="0.25">
      <c r="I2450" s="199"/>
      <c r="J2450" s="199"/>
    </row>
    <row r="2451" spans="9:10" x14ac:dyDescent="0.25">
      <c r="I2451" s="199"/>
      <c r="J2451" s="199"/>
    </row>
    <row r="2452" spans="9:10" x14ac:dyDescent="0.25">
      <c r="I2452" s="199"/>
      <c r="J2452" s="199"/>
    </row>
    <row r="2453" spans="9:10" x14ac:dyDescent="0.25">
      <c r="I2453" s="199"/>
      <c r="J2453" s="199"/>
    </row>
    <row r="2454" spans="9:10" x14ac:dyDescent="0.25">
      <c r="I2454" s="199"/>
      <c r="J2454" s="199"/>
    </row>
    <row r="2455" spans="9:10" x14ac:dyDescent="0.25">
      <c r="I2455" s="199"/>
      <c r="J2455" s="199"/>
    </row>
    <row r="2456" spans="9:10" x14ac:dyDescent="0.25">
      <c r="I2456" s="199"/>
      <c r="J2456" s="199"/>
    </row>
    <row r="2457" spans="9:10" x14ac:dyDescent="0.25">
      <c r="I2457" s="199"/>
      <c r="J2457" s="199"/>
    </row>
    <row r="2458" spans="9:10" x14ac:dyDescent="0.25">
      <c r="I2458" s="199"/>
      <c r="J2458" s="199"/>
    </row>
    <row r="2459" spans="9:10" x14ac:dyDescent="0.25">
      <c r="I2459" s="199"/>
      <c r="J2459" s="199"/>
    </row>
    <row r="2460" spans="9:10" x14ac:dyDescent="0.25">
      <c r="I2460" s="199"/>
      <c r="J2460" s="199"/>
    </row>
    <row r="2461" spans="9:10" x14ac:dyDescent="0.25">
      <c r="I2461" s="199"/>
      <c r="J2461" s="199"/>
    </row>
    <row r="2462" spans="9:10" x14ac:dyDescent="0.25">
      <c r="I2462" s="199"/>
      <c r="J2462" s="199"/>
    </row>
    <row r="2463" spans="9:10" x14ac:dyDescent="0.25">
      <c r="I2463" s="199"/>
      <c r="J2463" s="199"/>
    </row>
    <row r="2464" spans="9:10" x14ac:dyDescent="0.25">
      <c r="I2464" s="199"/>
      <c r="J2464" s="199"/>
    </row>
    <row r="2465" spans="9:10" x14ac:dyDescent="0.25">
      <c r="I2465" s="199"/>
      <c r="J2465" s="199"/>
    </row>
    <row r="2466" spans="9:10" x14ac:dyDescent="0.25">
      <c r="I2466" s="199"/>
      <c r="J2466" s="199"/>
    </row>
    <row r="2467" spans="9:10" x14ac:dyDescent="0.25">
      <c r="I2467" s="199"/>
      <c r="J2467" s="199"/>
    </row>
    <row r="2468" spans="9:10" x14ac:dyDescent="0.25">
      <c r="I2468" s="199"/>
      <c r="J2468" s="199"/>
    </row>
    <row r="2469" spans="9:10" x14ac:dyDescent="0.25">
      <c r="I2469" s="199"/>
      <c r="J2469" s="199"/>
    </row>
    <row r="2470" spans="9:10" x14ac:dyDescent="0.25">
      <c r="I2470" s="199"/>
      <c r="J2470" s="199"/>
    </row>
    <row r="2471" spans="9:10" x14ac:dyDescent="0.25">
      <c r="I2471" s="199"/>
      <c r="J2471" s="199"/>
    </row>
    <row r="2472" spans="9:10" x14ac:dyDescent="0.25">
      <c r="I2472" s="199"/>
      <c r="J2472" s="199"/>
    </row>
    <row r="2473" spans="9:10" x14ac:dyDescent="0.25">
      <c r="I2473" s="199"/>
      <c r="J2473" s="199"/>
    </row>
    <row r="2474" spans="9:10" x14ac:dyDescent="0.25">
      <c r="I2474" s="199"/>
      <c r="J2474" s="199"/>
    </row>
    <row r="2475" spans="9:10" x14ac:dyDescent="0.25">
      <c r="I2475" s="199"/>
      <c r="J2475" s="199"/>
    </row>
    <row r="2476" spans="9:10" x14ac:dyDescent="0.25">
      <c r="I2476" s="199"/>
      <c r="J2476" s="199"/>
    </row>
    <row r="2477" spans="9:10" x14ac:dyDescent="0.25">
      <c r="I2477" s="199"/>
      <c r="J2477" s="199"/>
    </row>
    <row r="2478" spans="9:10" x14ac:dyDescent="0.25">
      <c r="I2478" s="199"/>
      <c r="J2478" s="199"/>
    </row>
    <row r="2479" spans="9:10" x14ac:dyDescent="0.25">
      <c r="I2479" s="199"/>
      <c r="J2479" s="199"/>
    </row>
    <row r="2480" spans="9:10" x14ac:dyDescent="0.25">
      <c r="I2480" s="199"/>
      <c r="J2480" s="199"/>
    </row>
    <row r="2481" spans="9:10" x14ac:dyDescent="0.25">
      <c r="I2481" s="199"/>
      <c r="J2481" s="199"/>
    </row>
    <row r="2482" spans="9:10" x14ac:dyDescent="0.25">
      <c r="I2482" s="199"/>
      <c r="J2482" s="199"/>
    </row>
    <row r="2483" spans="9:10" x14ac:dyDescent="0.25">
      <c r="I2483" s="199"/>
      <c r="J2483" s="199"/>
    </row>
    <row r="2484" spans="9:10" x14ac:dyDescent="0.25">
      <c r="I2484" s="199"/>
      <c r="J2484" s="199"/>
    </row>
    <row r="2485" spans="9:10" x14ac:dyDescent="0.25">
      <c r="I2485" s="199"/>
      <c r="J2485" s="199"/>
    </row>
    <row r="2486" spans="9:10" x14ac:dyDescent="0.25">
      <c r="I2486" s="199"/>
      <c r="J2486" s="199"/>
    </row>
    <row r="2487" spans="9:10" x14ac:dyDescent="0.25">
      <c r="I2487" s="199"/>
      <c r="J2487" s="199"/>
    </row>
    <row r="2488" spans="9:10" x14ac:dyDescent="0.25">
      <c r="I2488" s="199"/>
      <c r="J2488" s="199"/>
    </row>
    <row r="2489" spans="9:10" x14ac:dyDescent="0.25">
      <c r="I2489" s="199"/>
      <c r="J2489" s="199"/>
    </row>
    <row r="2490" spans="9:10" x14ac:dyDescent="0.25">
      <c r="I2490" s="199"/>
      <c r="J2490" s="199"/>
    </row>
    <row r="2491" spans="9:10" x14ac:dyDescent="0.25">
      <c r="I2491" s="199"/>
      <c r="J2491" s="199"/>
    </row>
    <row r="2492" spans="9:10" x14ac:dyDescent="0.25">
      <c r="I2492" s="199"/>
      <c r="J2492" s="199"/>
    </row>
    <row r="2493" spans="9:10" x14ac:dyDescent="0.25">
      <c r="I2493" s="199"/>
      <c r="J2493" s="199"/>
    </row>
    <row r="2494" spans="9:10" x14ac:dyDescent="0.25">
      <c r="I2494" s="199"/>
      <c r="J2494" s="199"/>
    </row>
    <row r="2495" spans="9:10" x14ac:dyDescent="0.25">
      <c r="I2495" s="199"/>
      <c r="J2495" s="199"/>
    </row>
    <row r="2496" spans="9:10" x14ac:dyDescent="0.25">
      <c r="I2496" s="199"/>
      <c r="J2496" s="199"/>
    </row>
    <row r="2497" spans="9:10" x14ac:dyDescent="0.25">
      <c r="I2497" s="199"/>
      <c r="J2497" s="199"/>
    </row>
    <row r="2498" spans="9:10" x14ac:dyDescent="0.25">
      <c r="I2498" s="199"/>
      <c r="J2498" s="199"/>
    </row>
    <row r="2499" spans="9:10" x14ac:dyDescent="0.25">
      <c r="I2499" s="199"/>
      <c r="J2499" s="199"/>
    </row>
    <row r="2500" spans="9:10" x14ac:dyDescent="0.25">
      <c r="I2500" s="199"/>
      <c r="J2500" s="199"/>
    </row>
    <row r="2501" spans="9:10" x14ac:dyDescent="0.25">
      <c r="I2501" s="199"/>
      <c r="J2501" s="199"/>
    </row>
    <row r="2502" spans="9:10" x14ac:dyDescent="0.25">
      <c r="I2502" s="199"/>
      <c r="J2502" s="199"/>
    </row>
    <row r="2503" spans="9:10" x14ac:dyDescent="0.25">
      <c r="I2503" s="199"/>
      <c r="J2503" s="199"/>
    </row>
    <row r="2504" spans="9:10" x14ac:dyDescent="0.25">
      <c r="I2504" s="199"/>
      <c r="J2504" s="199"/>
    </row>
    <row r="2505" spans="9:10" x14ac:dyDescent="0.25">
      <c r="I2505" s="199"/>
      <c r="J2505" s="199"/>
    </row>
    <row r="2506" spans="9:10" x14ac:dyDescent="0.25">
      <c r="I2506" s="199"/>
      <c r="J2506" s="199"/>
    </row>
    <row r="2507" spans="9:10" x14ac:dyDescent="0.25">
      <c r="I2507" s="199"/>
      <c r="J2507" s="199"/>
    </row>
    <row r="2508" spans="9:10" x14ac:dyDescent="0.25">
      <c r="I2508" s="199"/>
      <c r="J2508" s="199"/>
    </row>
    <row r="2509" spans="9:10" x14ac:dyDescent="0.25">
      <c r="I2509" s="199"/>
      <c r="J2509" s="199"/>
    </row>
    <row r="2510" spans="9:10" x14ac:dyDescent="0.25">
      <c r="I2510" s="199"/>
      <c r="J2510" s="199"/>
    </row>
    <row r="2511" spans="9:10" x14ac:dyDescent="0.25">
      <c r="I2511" s="199"/>
      <c r="J2511" s="199"/>
    </row>
    <row r="2512" spans="9:10" x14ac:dyDescent="0.25">
      <c r="I2512" s="199"/>
      <c r="J2512" s="199"/>
    </row>
    <row r="2513" spans="9:10" x14ac:dyDescent="0.25">
      <c r="I2513" s="199"/>
      <c r="J2513" s="199"/>
    </row>
    <row r="2514" spans="9:10" x14ac:dyDescent="0.25">
      <c r="I2514" s="199"/>
      <c r="J2514" s="199"/>
    </row>
    <row r="2515" spans="9:10" x14ac:dyDescent="0.25">
      <c r="I2515" s="199"/>
      <c r="J2515" s="199"/>
    </row>
    <row r="2516" spans="9:10" x14ac:dyDescent="0.25">
      <c r="I2516" s="199"/>
      <c r="J2516" s="199"/>
    </row>
    <row r="2517" spans="9:10" x14ac:dyDescent="0.25">
      <c r="I2517" s="199"/>
      <c r="J2517" s="199"/>
    </row>
    <row r="2518" spans="9:10" x14ac:dyDescent="0.25">
      <c r="I2518" s="199"/>
      <c r="J2518" s="199"/>
    </row>
    <row r="2519" spans="9:10" x14ac:dyDescent="0.25">
      <c r="I2519" s="199"/>
      <c r="J2519" s="199"/>
    </row>
    <row r="2520" spans="9:10" x14ac:dyDescent="0.25">
      <c r="I2520" s="199"/>
      <c r="J2520" s="199"/>
    </row>
    <row r="2521" spans="9:10" x14ac:dyDescent="0.25">
      <c r="I2521" s="199"/>
      <c r="J2521" s="199"/>
    </row>
    <row r="2522" spans="9:10" x14ac:dyDescent="0.25">
      <c r="I2522" s="199"/>
      <c r="J2522" s="199"/>
    </row>
    <row r="2523" spans="9:10" x14ac:dyDescent="0.25">
      <c r="I2523" s="199"/>
      <c r="J2523" s="199"/>
    </row>
    <row r="2524" spans="9:10" x14ac:dyDescent="0.25">
      <c r="I2524" s="199"/>
      <c r="J2524" s="199"/>
    </row>
    <row r="2525" spans="9:10" x14ac:dyDescent="0.25">
      <c r="I2525" s="199"/>
      <c r="J2525" s="199"/>
    </row>
    <row r="2526" spans="9:10" x14ac:dyDescent="0.25">
      <c r="I2526" s="199"/>
      <c r="J2526" s="199"/>
    </row>
    <row r="2527" spans="9:10" x14ac:dyDescent="0.25">
      <c r="I2527" s="199"/>
      <c r="J2527" s="199"/>
    </row>
    <row r="2528" spans="9:10" x14ac:dyDescent="0.25">
      <c r="I2528" s="199"/>
      <c r="J2528" s="199"/>
    </row>
    <row r="2529" spans="9:10" x14ac:dyDescent="0.25">
      <c r="I2529" s="199"/>
      <c r="J2529" s="199"/>
    </row>
    <row r="2530" spans="9:10" x14ac:dyDescent="0.25">
      <c r="I2530" s="199"/>
      <c r="J2530" s="199"/>
    </row>
    <row r="2531" spans="9:10" x14ac:dyDescent="0.25">
      <c r="I2531" s="199"/>
      <c r="J2531" s="199"/>
    </row>
    <row r="2532" spans="9:10" x14ac:dyDescent="0.25">
      <c r="I2532" s="199"/>
      <c r="J2532" s="199"/>
    </row>
    <row r="2533" spans="9:10" x14ac:dyDescent="0.25">
      <c r="I2533" s="199"/>
      <c r="J2533" s="199"/>
    </row>
    <row r="2534" spans="9:10" x14ac:dyDescent="0.25">
      <c r="I2534" s="199"/>
      <c r="J2534" s="199"/>
    </row>
    <row r="2535" spans="9:10" x14ac:dyDescent="0.25">
      <c r="I2535" s="199"/>
      <c r="J2535" s="199"/>
    </row>
    <row r="2536" spans="9:10" x14ac:dyDescent="0.25">
      <c r="I2536" s="199"/>
      <c r="J2536" s="199"/>
    </row>
    <row r="2537" spans="9:10" x14ac:dyDescent="0.25">
      <c r="I2537" s="199"/>
      <c r="J2537" s="199"/>
    </row>
    <row r="2538" spans="9:10" x14ac:dyDescent="0.25">
      <c r="I2538" s="199"/>
      <c r="J2538" s="199"/>
    </row>
    <row r="2539" spans="9:10" x14ac:dyDescent="0.25">
      <c r="I2539" s="199"/>
      <c r="J2539" s="199"/>
    </row>
    <row r="2540" spans="9:10" x14ac:dyDescent="0.25">
      <c r="I2540" s="199"/>
      <c r="J2540" s="199"/>
    </row>
    <row r="2541" spans="9:10" x14ac:dyDescent="0.25">
      <c r="I2541" s="199"/>
      <c r="J2541" s="199"/>
    </row>
    <row r="2542" spans="9:10" x14ac:dyDescent="0.25">
      <c r="I2542" s="199"/>
      <c r="J2542" s="199"/>
    </row>
    <row r="2543" spans="9:10" x14ac:dyDescent="0.25">
      <c r="I2543" s="199"/>
      <c r="J2543" s="199"/>
    </row>
    <row r="2544" spans="9:10" x14ac:dyDescent="0.25">
      <c r="I2544" s="199"/>
      <c r="J2544" s="199"/>
    </row>
    <row r="2545" spans="9:10" x14ac:dyDescent="0.25">
      <c r="I2545" s="199"/>
      <c r="J2545" s="199"/>
    </row>
    <row r="2546" spans="9:10" x14ac:dyDescent="0.25">
      <c r="I2546" s="199"/>
      <c r="J2546" s="199"/>
    </row>
    <row r="2547" spans="9:10" x14ac:dyDescent="0.25">
      <c r="I2547" s="199"/>
      <c r="J2547" s="199"/>
    </row>
    <row r="2548" spans="9:10" x14ac:dyDescent="0.25">
      <c r="I2548" s="199"/>
      <c r="J2548" s="199"/>
    </row>
    <row r="2549" spans="9:10" x14ac:dyDescent="0.25">
      <c r="I2549" s="199"/>
      <c r="J2549" s="199"/>
    </row>
    <row r="2550" spans="9:10" x14ac:dyDescent="0.25">
      <c r="I2550" s="199"/>
      <c r="J2550" s="199"/>
    </row>
    <row r="2551" spans="9:10" x14ac:dyDescent="0.25">
      <c r="I2551" s="199"/>
      <c r="J2551" s="199"/>
    </row>
    <row r="2552" spans="9:10" x14ac:dyDescent="0.25">
      <c r="I2552" s="199"/>
      <c r="J2552" s="199"/>
    </row>
    <row r="2553" spans="9:10" x14ac:dyDescent="0.25">
      <c r="I2553" s="199"/>
      <c r="J2553" s="199"/>
    </row>
    <row r="2554" spans="9:10" x14ac:dyDescent="0.25">
      <c r="I2554" s="199"/>
      <c r="J2554" s="199"/>
    </row>
    <row r="2555" spans="9:10" x14ac:dyDescent="0.25">
      <c r="I2555" s="199"/>
      <c r="J2555" s="199"/>
    </row>
    <row r="2556" spans="9:10" x14ac:dyDescent="0.25">
      <c r="I2556" s="199"/>
      <c r="J2556" s="199"/>
    </row>
    <row r="2557" spans="9:10" x14ac:dyDescent="0.25">
      <c r="I2557" s="199"/>
      <c r="J2557" s="199"/>
    </row>
    <row r="2558" spans="9:10" x14ac:dyDescent="0.25">
      <c r="I2558" s="199"/>
      <c r="J2558" s="199"/>
    </row>
    <row r="2559" spans="9:10" x14ac:dyDescent="0.25">
      <c r="I2559" s="199"/>
      <c r="J2559" s="199"/>
    </row>
    <row r="2560" spans="9:10" x14ac:dyDescent="0.25">
      <c r="I2560" s="199"/>
      <c r="J2560" s="199"/>
    </row>
    <row r="2561" spans="9:10" x14ac:dyDescent="0.25">
      <c r="I2561" s="199"/>
      <c r="J2561" s="199"/>
    </row>
    <row r="2562" spans="9:10" x14ac:dyDescent="0.25">
      <c r="I2562" s="199"/>
      <c r="J2562" s="199"/>
    </row>
    <row r="2563" spans="9:10" x14ac:dyDescent="0.25">
      <c r="I2563" s="199"/>
      <c r="J2563" s="199"/>
    </row>
    <row r="2564" spans="9:10" x14ac:dyDescent="0.25">
      <c r="I2564" s="199"/>
      <c r="J2564" s="199"/>
    </row>
    <row r="2565" spans="9:10" x14ac:dyDescent="0.25">
      <c r="I2565" s="199"/>
      <c r="J2565" s="199"/>
    </row>
    <row r="2566" spans="9:10" x14ac:dyDescent="0.25">
      <c r="I2566" s="199"/>
      <c r="J2566" s="199"/>
    </row>
    <row r="2567" spans="9:10" x14ac:dyDescent="0.25">
      <c r="I2567" s="199"/>
      <c r="J2567" s="199"/>
    </row>
    <row r="2568" spans="9:10" x14ac:dyDescent="0.25">
      <c r="I2568" s="199"/>
      <c r="J2568" s="199"/>
    </row>
    <row r="2569" spans="9:10" x14ac:dyDescent="0.25">
      <c r="I2569" s="199"/>
      <c r="J2569" s="199"/>
    </row>
    <row r="2570" spans="9:10" x14ac:dyDescent="0.25">
      <c r="I2570" s="199"/>
      <c r="J2570" s="199"/>
    </row>
    <row r="2571" spans="9:10" x14ac:dyDescent="0.25">
      <c r="I2571" s="199"/>
      <c r="J2571" s="199"/>
    </row>
    <row r="2572" spans="9:10" x14ac:dyDescent="0.25">
      <c r="I2572" s="199"/>
      <c r="J2572" s="199"/>
    </row>
    <row r="2573" spans="9:10" x14ac:dyDescent="0.25">
      <c r="I2573" s="199"/>
      <c r="J2573" s="199"/>
    </row>
    <row r="2574" spans="9:10" x14ac:dyDescent="0.25">
      <c r="I2574" s="199"/>
      <c r="J2574" s="199"/>
    </row>
    <row r="2575" spans="9:10" x14ac:dyDescent="0.25">
      <c r="I2575" s="199"/>
      <c r="J2575" s="199"/>
    </row>
    <row r="2576" spans="9:10" x14ac:dyDescent="0.25">
      <c r="I2576" s="199"/>
      <c r="J2576" s="199"/>
    </row>
    <row r="2577" spans="9:10" x14ac:dyDescent="0.25">
      <c r="I2577" s="199"/>
      <c r="J2577" s="199"/>
    </row>
    <row r="2578" spans="9:10" x14ac:dyDescent="0.25">
      <c r="I2578" s="199"/>
      <c r="J2578" s="199"/>
    </row>
    <row r="2579" spans="9:10" x14ac:dyDescent="0.25">
      <c r="I2579" s="199"/>
      <c r="J2579" s="199"/>
    </row>
    <row r="2580" spans="9:10" x14ac:dyDescent="0.25">
      <c r="I2580" s="199"/>
      <c r="J2580" s="199"/>
    </row>
    <row r="2581" spans="9:10" x14ac:dyDescent="0.25">
      <c r="I2581" s="199"/>
      <c r="J2581" s="199"/>
    </row>
    <row r="2582" spans="9:10" x14ac:dyDescent="0.25">
      <c r="I2582" s="199"/>
      <c r="J2582" s="199"/>
    </row>
    <row r="2583" spans="9:10" x14ac:dyDescent="0.25">
      <c r="I2583" s="199"/>
      <c r="J2583" s="199"/>
    </row>
    <row r="2584" spans="9:10" x14ac:dyDescent="0.25">
      <c r="I2584" s="199"/>
      <c r="J2584" s="199"/>
    </row>
    <row r="2585" spans="9:10" x14ac:dyDescent="0.25">
      <c r="I2585" s="199"/>
      <c r="J2585" s="199"/>
    </row>
    <row r="2586" spans="9:10" x14ac:dyDescent="0.25">
      <c r="I2586" s="199"/>
      <c r="J2586" s="199"/>
    </row>
    <row r="2587" spans="9:10" x14ac:dyDescent="0.25">
      <c r="I2587" s="199"/>
      <c r="J2587" s="199"/>
    </row>
    <row r="2588" spans="9:10" x14ac:dyDescent="0.25">
      <c r="I2588" s="199"/>
      <c r="J2588" s="199"/>
    </row>
    <row r="2589" spans="9:10" x14ac:dyDescent="0.25">
      <c r="I2589" s="199"/>
      <c r="J2589" s="199"/>
    </row>
    <row r="2590" spans="9:10" x14ac:dyDescent="0.25">
      <c r="I2590" s="199"/>
      <c r="J2590" s="199"/>
    </row>
    <row r="2591" spans="9:10" x14ac:dyDescent="0.25">
      <c r="I2591" s="199"/>
      <c r="J2591" s="199"/>
    </row>
    <row r="2592" spans="9:10" x14ac:dyDescent="0.25">
      <c r="I2592" s="199"/>
      <c r="J2592" s="199"/>
    </row>
    <row r="2593" spans="9:10" x14ac:dyDescent="0.25">
      <c r="I2593" s="199"/>
      <c r="J2593" s="199"/>
    </row>
    <row r="2594" spans="9:10" x14ac:dyDescent="0.25">
      <c r="I2594" s="199"/>
      <c r="J2594" s="199"/>
    </row>
    <row r="2595" spans="9:10" x14ac:dyDescent="0.25">
      <c r="I2595" s="199"/>
      <c r="J2595" s="199"/>
    </row>
    <row r="2596" spans="9:10" x14ac:dyDescent="0.25">
      <c r="I2596" s="199"/>
      <c r="J2596" s="199"/>
    </row>
    <row r="2597" spans="9:10" x14ac:dyDescent="0.25">
      <c r="I2597" s="199"/>
      <c r="J2597" s="199"/>
    </row>
    <row r="2598" spans="9:10" x14ac:dyDescent="0.25">
      <c r="I2598" s="199"/>
      <c r="J2598" s="199"/>
    </row>
    <row r="2599" spans="9:10" x14ac:dyDescent="0.25">
      <c r="I2599" s="199"/>
      <c r="J2599" s="199"/>
    </row>
    <row r="2600" spans="9:10" x14ac:dyDescent="0.25">
      <c r="I2600" s="199"/>
      <c r="J2600" s="199"/>
    </row>
    <row r="2601" spans="9:10" x14ac:dyDescent="0.25">
      <c r="I2601" s="199"/>
      <c r="J2601" s="199"/>
    </row>
    <row r="2602" spans="9:10" x14ac:dyDescent="0.25">
      <c r="I2602" s="199"/>
      <c r="J2602" s="199"/>
    </row>
    <row r="2603" spans="9:10" x14ac:dyDescent="0.25">
      <c r="I2603" s="199"/>
      <c r="J2603" s="199"/>
    </row>
    <row r="2604" spans="9:10" x14ac:dyDescent="0.25">
      <c r="I2604" s="199"/>
      <c r="J2604" s="199"/>
    </row>
    <row r="2605" spans="9:10" x14ac:dyDescent="0.25">
      <c r="I2605" s="199"/>
      <c r="J2605" s="199"/>
    </row>
    <row r="2606" spans="9:10" x14ac:dyDescent="0.25">
      <c r="I2606" s="199"/>
      <c r="J2606" s="199"/>
    </row>
    <row r="2607" spans="9:10" x14ac:dyDescent="0.25">
      <c r="I2607" s="199"/>
      <c r="J2607" s="199"/>
    </row>
    <row r="2608" spans="9:10" x14ac:dyDescent="0.25">
      <c r="I2608" s="199"/>
      <c r="J2608" s="199"/>
    </row>
    <row r="2609" spans="9:10" x14ac:dyDescent="0.25">
      <c r="I2609" s="199"/>
      <c r="J2609" s="199"/>
    </row>
    <row r="2610" spans="9:10" x14ac:dyDescent="0.25">
      <c r="I2610" s="199"/>
      <c r="J2610" s="199"/>
    </row>
    <row r="2611" spans="9:10" x14ac:dyDescent="0.25">
      <c r="I2611" s="199"/>
      <c r="J2611" s="199"/>
    </row>
    <row r="2612" spans="9:10" x14ac:dyDescent="0.25">
      <c r="I2612" s="199"/>
      <c r="J2612" s="199"/>
    </row>
    <row r="2613" spans="9:10" x14ac:dyDescent="0.25">
      <c r="I2613" s="199"/>
      <c r="J2613" s="199"/>
    </row>
    <row r="2614" spans="9:10" x14ac:dyDescent="0.25">
      <c r="I2614" s="199"/>
      <c r="J2614" s="199"/>
    </row>
    <row r="2615" spans="9:10" x14ac:dyDescent="0.25">
      <c r="I2615" s="199"/>
      <c r="J2615" s="199"/>
    </row>
    <row r="2616" spans="9:10" x14ac:dyDescent="0.25">
      <c r="I2616" s="199"/>
      <c r="J2616" s="199"/>
    </row>
    <row r="2617" spans="9:10" x14ac:dyDescent="0.25">
      <c r="I2617" s="199"/>
      <c r="J2617" s="199"/>
    </row>
    <row r="2618" spans="9:10" x14ac:dyDescent="0.25">
      <c r="I2618" s="199"/>
      <c r="J2618" s="199"/>
    </row>
    <row r="2619" spans="9:10" x14ac:dyDescent="0.25">
      <c r="I2619" s="199"/>
      <c r="J2619" s="199"/>
    </row>
    <row r="2620" spans="9:10" x14ac:dyDescent="0.25">
      <c r="I2620" s="199"/>
      <c r="J2620" s="199"/>
    </row>
    <row r="2621" spans="9:10" x14ac:dyDescent="0.25">
      <c r="I2621" s="199"/>
      <c r="J2621" s="199"/>
    </row>
    <row r="2622" spans="9:10" x14ac:dyDescent="0.25">
      <c r="I2622" s="199"/>
      <c r="J2622" s="199"/>
    </row>
    <row r="2623" spans="9:10" x14ac:dyDescent="0.25">
      <c r="I2623" s="199"/>
      <c r="J2623" s="199"/>
    </row>
    <row r="2624" spans="9:10" x14ac:dyDescent="0.25">
      <c r="I2624" s="199"/>
      <c r="J2624" s="199"/>
    </row>
    <row r="2625" spans="9:10" x14ac:dyDescent="0.25">
      <c r="I2625" s="199"/>
      <c r="J2625" s="199"/>
    </row>
    <row r="2626" spans="9:10" x14ac:dyDescent="0.25">
      <c r="I2626" s="199"/>
      <c r="J2626" s="199"/>
    </row>
    <row r="2627" spans="9:10" x14ac:dyDescent="0.25">
      <c r="I2627" s="199"/>
      <c r="J2627" s="199"/>
    </row>
    <row r="2628" spans="9:10" x14ac:dyDescent="0.25">
      <c r="I2628" s="199"/>
      <c r="J2628" s="199"/>
    </row>
    <row r="2629" spans="9:10" x14ac:dyDescent="0.25">
      <c r="I2629" s="199"/>
      <c r="J2629" s="199"/>
    </row>
    <row r="2630" spans="9:10" x14ac:dyDescent="0.25">
      <c r="I2630" s="199"/>
      <c r="J2630" s="199"/>
    </row>
    <row r="2631" spans="9:10" x14ac:dyDescent="0.25">
      <c r="I2631" s="199"/>
      <c r="J2631" s="199"/>
    </row>
    <row r="2632" spans="9:10" x14ac:dyDescent="0.25">
      <c r="I2632" s="199"/>
      <c r="J2632" s="199"/>
    </row>
    <row r="2633" spans="9:10" x14ac:dyDescent="0.25">
      <c r="I2633" s="199"/>
      <c r="J2633" s="199"/>
    </row>
    <row r="2634" spans="9:10" x14ac:dyDescent="0.25">
      <c r="I2634" s="199"/>
      <c r="J2634" s="199"/>
    </row>
    <row r="2635" spans="9:10" x14ac:dyDescent="0.25">
      <c r="I2635" s="199"/>
      <c r="J2635" s="199"/>
    </row>
    <row r="2636" spans="9:10" x14ac:dyDescent="0.25">
      <c r="I2636" s="199"/>
      <c r="J2636" s="199"/>
    </row>
    <row r="2637" spans="9:10" x14ac:dyDescent="0.25">
      <c r="I2637" s="199"/>
      <c r="J2637" s="199"/>
    </row>
    <row r="2638" spans="9:10" x14ac:dyDescent="0.25">
      <c r="I2638" s="199"/>
      <c r="J2638" s="199"/>
    </row>
    <row r="2639" spans="9:10" x14ac:dyDescent="0.25">
      <c r="I2639" s="199"/>
      <c r="J2639" s="199"/>
    </row>
    <row r="2640" spans="9:10" x14ac:dyDescent="0.25">
      <c r="I2640" s="199"/>
      <c r="J2640" s="199"/>
    </row>
    <row r="2641" spans="9:10" x14ac:dyDescent="0.25">
      <c r="I2641" s="199"/>
      <c r="J2641" s="199"/>
    </row>
    <row r="2642" spans="9:10" x14ac:dyDescent="0.25">
      <c r="I2642" s="199"/>
      <c r="J2642" s="199"/>
    </row>
    <row r="2643" spans="9:10" x14ac:dyDescent="0.25">
      <c r="I2643" s="199"/>
      <c r="J2643" s="199"/>
    </row>
    <row r="2644" spans="9:10" x14ac:dyDescent="0.25">
      <c r="I2644" s="199"/>
      <c r="J2644" s="199"/>
    </row>
    <row r="2645" spans="9:10" x14ac:dyDescent="0.25">
      <c r="I2645" s="199"/>
      <c r="J2645" s="199"/>
    </row>
    <row r="2646" spans="9:10" x14ac:dyDescent="0.25">
      <c r="I2646" s="199"/>
      <c r="J2646" s="199"/>
    </row>
    <row r="2647" spans="9:10" x14ac:dyDescent="0.25">
      <c r="I2647" s="199"/>
      <c r="J2647" s="199"/>
    </row>
    <row r="2648" spans="9:10" x14ac:dyDescent="0.25">
      <c r="I2648" s="199"/>
      <c r="J2648" s="199"/>
    </row>
    <row r="2649" spans="9:10" x14ac:dyDescent="0.25">
      <c r="I2649" s="199"/>
      <c r="J2649" s="199"/>
    </row>
    <row r="2650" spans="9:10" x14ac:dyDescent="0.25">
      <c r="I2650" s="199"/>
      <c r="J2650" s="199"/>
    </row>
    <row r="2651" spans="9:10" x14ac:dyDescent="0.25">
      <c r="I2651" s="199"/>
      <c r="J2651" s="199"/>
    </row>
    <row r="2652" spans="9:10" x14ac:dyDescent="0.25">
      <c r="I2652" s="199"/>
      <c r="J2652" s="199"/>
    </row>
    <row r="2653" spans="9:10" x14ac:dyDescent="0.25">
      <c r="I2653" s="199"/>
      <c r="J2653" s="199"/>
    </row>
    <row r="2654" spans="9:10" x14ac:dyDescent="0.25">
      <c r="I2654" s="199"/>
      <c r="J2654" s="199"/>
    </row>
    <row r="2655" spans="9:10" x14ac:dyDescent="0.25">
      <c r="I2655" s="199"/>
      <c r="J2655" s="199"/>
    </row>
    <row r="2656" spans="9:10" x14ac:dyDescent="0.25">
      <c r="I2656" s="199"/>
      <c r="J2656" s="199"/>
    </row>
    <row r="2657" spans="9:10" x14ac:dyDescent="0.25">
      <c r="I2657" s="199"/>
      <c r="J2657" s="199"/>
    </row>
    <row r="2658" spans="9:10" x14ac:dyDescent="0.25">
      <c r="I2658" s="199"/>
      <c r="J2658" s="199"/>
    </row>
    <row r="2659" spans="9:10" x14ac:dyDescent="0.25">
      <c r="I2659" s="199"/>
      <c r="J2659" s="199"/>
    </row>
    <row r="2660" spans="9:10" x14ac:dyDescent="0.25">
      <c r="I2660" s="199"/>
      <c r="J2660" s="199"/>
    </row>
    <row r="2661" spans="9:10" x14ac:dyDescent="0.25">
      <c r="I2661" s="199"/>
      <c r="J2661" s="199"/>
    </row>
    <row r="2662" spans="9:10" x14ac:dyDescent="0.25">
      <c r="I2662" s="199"/>
      <c r="J2662" s="199"/>
    </row>
    <row r="2663" spans="9:10" x14ac:dyDescent="0.25">
      <c r="I2663" s="199"/>
      <c r="J2663" s="199"/>
    </row>
    <row r="2664" spans="9:10" x14ac:dyDescent="0.25">
      <c r="I2664" s="199"/>
      <c r="J2664" s="199"/>
    </row>
    <row r="2665" spans="9:10" x14ac:dyDescent="0.25">
      <c r="I2665" s="199"/>
      <c r="J2665" s="199"/>
    </row>
    <row r="2666" spans="9:10" x14ac:dyDescent="0.25">
      <c r="I2666" s="199"/>
      <c r="J2666" s="199"/>
    </row>
    <row r="2667" spans="9:10" x14ac:dyDescent="0.25">
      <c r="I2667" s="199"/>
      <c r="J2667" s="199"/>
    </row>
    <row r="2668" spans="9:10" x14ac:dyDescent="0.25">
      <c r="I2668" s="199"/>
      <c r="J2668" s="199"/>
    </row>
    <row r="2669" spans="9:10" x14ac:dyDescent="0.25">
      <c r="I2669" s="199"/>
      <c r="J2669" s="199"/>
    </row>
    <row r="2670" spans="9:10" x14ac:dyDescent="0.25">
      <c r="I2670" s="199"/>
      <c r="J2670" s="199"/>
    </row>
    <row r="2671" spans="9:10" x14ac:dyDescent="0.25">
      <c r="I2671" s="199"/>
      <c r="J2671" s="199"/>
    </row>
    <row r="2672" spans="9:10" x14ac:dyDescent="0.25">
      <c r="I2672" s="199"/>
      <c r="J2672" s="199"/>
    </row>
    <row r="2673" spans="9:10" x14ac:dyDescent="0.25">
      <c r="I2673" s="199"/>
      <c r="J2673" s="199"/>
    </row>
    <row r="2674" spans="9:10" x14ac:dyDescent="0.25">
      <c r="I2674" s="199"/>
      <c r="J2674" s="199"/>
    </row>
    <row r="2675" spans="9:10" x14ac:dyDescent="0.25">
      <c r="I2675" s="199"/>
      <c r="J2675" s="199"/>
    </row>
    <row r="2676" spans="9:10" x14ac:dyDescent="0.25">
      <c r="I2676" s="199"/>
      <c r="J2676" s="199"/>
    </row>
    <row r="2677" spans="9:10" x14ac:dyDescent="0.25">
      <c r="I2677" s="199"/>
      <c r="J2677" s="199"/>
    </row>
    <row r="2678" spans="9:10" x14ac:dyDescent="0.25">
      <c r="I2678" s="199"/>
      <c r="J2678" s="199"/>
    </row>
    <row r="2679" spans="9:10" x14ac:dyDescent="0.25">
      <c r="I2679" s="199"/>
      <c r="J2679" s="199"/>
    </row>
    <row r="2680" spans="9:10" x14ac:dyDescent="0.25">
      <c r="I2680" s="199"/>
      <c r="J2680" s="199"/>
    </row>
    <row r="2681" spans="9:10" x14ac:dyDescent="0.25">
      <c r="I2681" s="199"/>
      <c r="J2681" s="199"/>
    </row>
    <row r="2682" spans="9:10" x14ac:dyDescent="0.25">
      <c r="I2682" s="199"/>
      <c r="J2682" s="199"/>
    </row>
    <row r="2683" spans="9:10" x14ac:dyDescent="0.25">
      <c r="I2683" s="199"/>
      <c r="J2683" s="199"/>
    </row>
    <row r="2684" spans="9:10" x14ac:dyDescent="0.25">
      <c r="I2684" s="199"/>
      <c r="J2684" s="199"/>
    </row>
    <row r="2685" spans="9:10" x14ac:dyDescent="0.25">
      <c r="I2685" s="199"/>
      <c r="J2685" s="199"/>
    </row>
    <row r="2686" spans="9:10" x14ac:dyDescent="0.25">
      <c r="I2686" s="199"/>
      <c r="J2686" s="199"/>
    </row>
    <row r="2687" spans="9:10" x14ac:dyDescent="0.25">
      <c r="I2687" s="199"/>
      <c r="J2687" s="199"/>
    </row>
    <row r="2688" spans="9:10" x14ac:dyDescent="0.25">
      <c r="I2688" s="199"/>
      <c r="J2688" s="199"/>
    </row>
    <row r="2689" spans="9:10" x14ac:dyDescent="0.25">
      <c r="I2689" s="199"/>
      <c r="J2689" s="199"/>
    </row>
    <row r="2690" spans="9:10" x14ac:dyDescent="0.25">
      <c r="I2690" s="199"/>
      <c r="J2690" s="199"/>
    </row>
    <row r="2691" spans="9:10" x14ac:dyDescent="0.25">
      <c r="I2691" s="199"/>
      <c r="J2691" s="199"/>
    </row>
    <row r="2692" spans="9:10" x14ac:dyDescent="0.25">
      <c r="I2692" s="199"/>
      <c r="J2692" s="199"/>
    </row>
    <row r="2693" spans="9:10" x14ac:dyDescent="0.25">
      <c r="I2693" s="199"/>
      <c r="J2693" s="199"/>
    </row>
    <row r="2694" spans="9:10" x14ac:dyDescent="0.25">
      <c r="I2694" s="199"/>
      <c r="J2694" s="199"/>
    </row>
    <row r="2695" spans="9:10" x14ac:dyDescent="0.25">
      <c r="I2695" s="199"/>
      <c r="J2695" s="199"/>
    </row>
    <row r="2696" spans="9:10" x14ac:dyDescent="0.25">
      <c r="I2696" s="199"/>
      <c r="J2696" s="199"/>
    </row>
    <row r="2697" spans="9:10" x14ac:dyDescent="0.25">
      <c r="I2697" s="199"/>
      <c r="J2697" s="199"/>
    </row>
    <row r="2698" spans="9:10" x14ac:dyDescent="0.25">
      <c r="I2698" s="199"/>
      <c r="J2698" s="199"/>
    </row>
    <row r="2699" spans="9:10" x14ac:dyDescent="0.25">
      <c r="I2699" s="199"/>
      <c r="J2699" s="199"/>
    </row>
    <row r="2700" spans="9:10" x14ac:dyDescent="0.25">
      <c r="I2700" s="199"/>
      <c r="J2700" s="199"/>
    </row>
    <row r="2701" spans="9:10" x14ac:dyDescent="0.25">
      <c r="I2701" s="199"/>
      <c r="J2701" s="199"/>
    </row>
    <row r="2702" spans="9:10" x14ac:dyDescent="0.25">
      <c r="I2702" s="199"/>
      <c r="J2702" s="199"/>
    </row>
    <row r="2703" spans="9:10" x14ac:dyDescent="0.25">
      <c r="I2703" s="199"/>
      <c r="J2703" s="199"/>
    </row>
    <row r="2704" spans="9:10" x14ac:dyDescent="0.25">
      <c r="I2704" s="199"/>
      <c r="J2704" s="199"/>
    </row>
    <row r="2705" spans="9:10" x14ac:dyDescent="0.25">
      <c r="I2705" s="199"/>
      <c r="J2705" s="199"/>
    </row>
    <row r="2706" spans="9:10" x14ac:dyDescent="0.25">
      <c r="I2706" s="199"/>
      <c r="J2706" s="199"/>
    </row>
    <row r="2707" spans="9:10" x14ac:dyDescent="0.25">
      <c r="I2707" s="199"/>
      <c r="J2707" s="199"/>
    </row>
    <row r="2708" spans="9:10" x14ac:dyDescent="0.25">
      <c r="I2708" s="199"/>
      <c r="J2708" s="199"/>
    </row>
    <row r="2709" spans="9:10" x14ac:dyDescent="0.25">
      <c r="I2709" s="199"/>
      <c r="J2709" s="199"/>
    </row>
    <row r="2710" spans="9:10" x14ac:dyDescent="0.25">
      <c r="I2710" s="199"/>
      <c r="J2710" s="199"/>
    </row>
    <row r="2711" spans="9:10" x14ac:dyDescent="0.25">
      <c r="I2711" s="199"/>
      <c r="J2711" s="199"/>
    </row>
    <row r="2712" spans="9:10" x14ac:dyDescent="0.25">
      <c r="I2712" s="199"/>
      <c r="J2712" s="199"/>
    </row>
    <row r="2713" spans="9:10" x14ac:dyDescent="0.25">
      <c r="I2713" s="199"/>
      <c r="J2713" s="199"/>
    </row>
    <row r="2714" spans="9:10" x14ac:dyDescent="0.25">
      <c r="I2714" s="199"/>
      <c r="J2714" s="199"/>
    </row>
    <row r="2715" spans="9:10" x14ac:dyDescent="0.25">
      <c r="I2715" s="199"/>
      <c r="J2715" s="199"/>
    </row>
    <row r="2716" spans="9:10" x14ac:dyDescent="0.25">
      <c r="I2716" s="199"/>
      <c r="J2716" s="199"/>
    </row>
    <row r="2717" spans="9:10" x14ac:dyDescent="0.25">
      <c r="I2717" s="199"/>
      <c r="J2717" s="199"/>
    </row>
    <row r="2718" spans="9:10" x14ac:dyDescent="0.25">
      <c r="I2718" s="199"/>
      <c r="J2718" s="199"/>
    </row>
    <row r="2719" spans="9:10" x14ac:dyDescent="0.25">
      <c r="I2719" s="199"/>
      <c r="J2719" s="199"/>
    </row>
    <row r="2720" spans="9:10" x14ac:dyDescent="0.25">
      <c r="I2720" s="199"/>
      <c r="J2720" s="199"/>
    </row>
    <row r="2721" spans="9:10" x14ac:dyDescent="0.25">
      <c r="I2721" s="199"/>
      <c r="J2721" s="199"/>
    </row>
    <row r="2722" spans="9:10" x14ac:dyDescent="0.25">
      <c r="I2722" s="199"/>
      <c r="J2722" s="199"/>
    </row>
    <row r="2723" spans="9:10" x14ac:dyDescent="0.25">
      <c r="I2723" s="199"/>
      <c r="J2723" s="199"/>
    </row>
    <row r="2724" spans="9:10" x14ac:dyDescent="0.25">
      <c r="I2724" s="199"/>
      <c r="J2724" s="199"/>
    </row>
    <row r="2725" spans="9:10" x14ac:dyDescent="0.25">
      <c r="I2725" s="199"/>
      <c r="J2725" s="199"/>
    </row>
    <row r="2726" spans="9:10" x14ac:dyDescent="0.25">
      <c r="I2726" s="199"/>
      <c r="J2726" s="199"/>
    </row>
    <row r="2727" spans="9:10" x14ac:dyDescent="0.25">
      <c r="I2727" s="199"/>
      <c r="J2727" s="199"/>
    </row>
    <row r="2728" spans="9:10" x14ac:dyDescent="0.25">
      <c r="I2728" s="199"/>
      <c r="J2728" s="199"/>
    </row>
    <row r="2729" spans="9:10" x14ac:dyDescent="0.25">
      <c r="I2729" s="199"/>
      <c r="J2729" s="199"/>
    </row>
    <row r="2730" spans="9:10" x14ac:dyDescent="0.25">
      <c r="I2730" s="199"/>
      <c r="J2730" s="199"/>
    </row>
    <row r="2731" spans="9:10" x14ac:dyDescent="0.25">
      <c r="I2731" s="199"/>
      <c r="J2731" s="199"/>
    </row>
    <row r="2732" spans="9:10" x14ac:dyDescent="0.25">
      <c r="I2732" s="199"/>
      <c r="J2732" s="199"/>
    </row>
    <row r="2733" spans="9:10" x14ac:dyDescent="0.25">
      <c r="I2733" s="199"/>
      <c r="J2733" s="199"/>
    </row>
    <row r="2734" spans="9:10" x14ac:dyDescent="0.25">
      <c r="I2734" s="199"/>
      <c r="J2734" s="199"/>
    </row>
    <row r="2735" spans="9:10" x14ac:dyDescent="0.25">
      <c r="I2735" s="199"/>
      <c r="J2735" s="199"/>
    </row>
    <row r="2736" spans="9:10" x14ac:dyDescent="0.25">
      <c r="I2736" s="199"/>
      <c r="J2736" s="199"/>
    </row>
    <row r="2737" spans="9:10" x14ac:dyDescent="0.25">
      <c r="I2737" s="199"/>
      <c r="J2737" s="199"/>
    </row>
    <row r="2738" spans="9:10" x14ac:dyDescent="0.25">
      <c r="I2738" s="199"/>
      <c r="J2738" s="199"/>
    </row>
    <row r="2739" spans="9:10" x14ac:dyDescent="0.25">
      <c r="I2739" s="199"/>
      <c r="J2739" s="199"/>
    </row>
    <row r="2740" spans="9:10" x14ac:dyDescent="0.25">
      <c r="I2740" s="199"/>
      <c r="J2740" s="199"/>
    </row>
    <row r="2741" spans="9:10" x14ac:dyDescent="0.25">
      <c r="I2741" s="199"/>
      <c r="J2741" s="199"/>
    </row>
    <row r="2742" spans="9:10" x14ac:dyDescent="0.25">
      <c r="I2742" s="199"/>
      <c r="J2742" s="199"/>
    </row>
    <row r="2743" spans="9:10" x14ac:dyDescent="0.25">
      <c r="I2743" s="199"/>
      <c r="J2743" s="199"/>
    </row>
    <row r="2744" spans="9:10" x14ac:dyDescent="0.25">
      <c r="I2744" s="199"/>
      <c r="J2744" s="199"/>
    </row>
    <row r="2745" spans="9:10" x14ac:dyDescent="0.25">
      <c r="I2745" s="199"/>
      <c r="J2745" s="199"/>
    </row>
    <row r="2746" spans="9:10" x14ac:dyDescent="0.25">
      <c r="I2746" s="199"/>
      <c r="J2746" s="199"/>
    </row>
    <row r="2747" spans="9:10" x14ac:dyDescent="0.25">
      <c r="I2747" s="199"/>
      <c r="J2747" s="199"/>
    </row>
    <row r="2748" spans="9:10" x14ac:dyDescent="0.25">
      <c r="I2748" s="199"/>
      <c r="J2748" s="199"/>
    </row>
    <row r="2749" spans="9:10" x14ac:dyDescent="0.25">
      <c r="I2749" s="199"/>
      <c r="J2749" s="199"/>
    </row>
    <row r="2750" spans="9:10" x14ac:dyDescent="0.25">
      <c r="I2750" s="199"/>
      <c r="J2750" s="199"/>
    </row>
    <row r="2751" spans="9:10" x14ac:dyDescent="0.25">
      <c r="I2751" s="199"/>
      <c r="J2751" s="199"/>
    </row>
    <row r="2752" spans="9:10" x14ac:dyDescent="0.25">
      <c r="I2752" s="199"/>
      <c r="J2752" s="199"/>
    </row>
    <row r="2753" spans="9:10" x14ac:dyDescent="0.25">
      <c r="I2753" s="199"/>
      <c r="J2753" s="199"/>
    </row>
    <row r="2754" spans="9:10" x14ac:dyDescent="0.25">
      <c r="I2754" s="199"/>
      <c r="J2754" s="199"/>
    </row>
    <row r="2755" spans="9:10" x14ac:dyDescent="0.25">
      <c r="I2755" s="199"/>
      <c r="J2755" s="199"/>
    </row>
    <row r="2756" spans="9:10" x14ac:dyDescent="0.25">
      <c r="I2756" s="199"/>
      <c r="J2756" s="199"/>
    </row>
    <row r="2757" spans="9:10" x14ac:dyDescent="0.25">
      <c r="I2757" s="199"/>
      <c r="J2757" s="199"/>
    </row>
    <row r="2758" spans="9:10" x14ac:dyDescent="0.25">
      <c r="I2758" s="199"/>
      <c r="J2758" s="199"/>
    </row>
    <row r="2759" spans="9:10" x14ac:dyDescent="0.25">
      <c r="I2759" s="199"/>
      <c r="J2759" s="199"/>
    </row>
    <row r="2760" spans="9:10" x14ac:dyDescent="0.25">
      <c r="I2760" s="199"/>
      <c r="J2760" s="199"/>
    </row>
    <row r="2761" spans="9:10" x14ac:dyDescent="0.25">
      <c r="I2761" s="199"/>
      <c r="J2761" s="199"/>
    </row>
    <row r="2762" spans="9:10" x14ac:dyDescent="0.25">
      <c r="I2762" s="199"/>
      <c r="J2762" s="199"/>
    </row>
    <row r="2763" spans="9:10" x14ac:dyDescent="0.25">
      <c r="I2763" s="199"/>
      <c r="J2763" s="199"/>
    </row>
    <row r="2764" spans="9:10" x14ac:dyDescent="0.25">
      <c r="I2764" s="199"/>
      <c r="J2764" s="199"/>
    </row>
    <row r="2765" spans="9:10" x14ac:dyDescent="0.25">
      <c r="I2765" s="199"/>
      <c r="J2765" s="199"/>
    </row>
    <row r="2766" spans="9:10" x14ac:dyDescent="0.25">
      <c r="I2766" s="199"/>
      <c r="J2766" s="199"/>
    </row>
    <row r="2767" spans="9:10" x14ac:dyDescent="0.25">
      <c r="I2767" s="199"/>
      <c r="J2767" s="199"/>
    </row>
    <row r="2768" spans="9:10" x14ac:dyDescent="0.25">
      <c r="I2768" s="199"/>
      <c r="J2768" s="199"/>
    </row>
    <row r="2769" spans="9:10" x14ac:dyDescent="0.25">
      <c r="I2769" s="199"/>
      <c r="J2769" s="199"/>
    </row>
    <row r="2770" spans="9:10" x14ac:dyDescent="0.25">
      <c r="I2770" s="199"/>
      <c r="J2770" s="199"/>
    </row>
    <row r="2771" spans="9:10" x14ac:dyDescent="0.25">
      <c r="I2771" s="199"/>
      <c r="J2771" s="199"/>
    </row>
    <row r="2772" spans="9:10" x14ac:dyDescent="0.25">
      <c r="I2772" s="199"/>
      <c r="J2772" s="199"/>
    </row>
    <row r="2773" spans="9:10" x14ac:dyDescent="0.25">
      <c r="I2773" s="199"/>
      <c r="J2773" s="199"/>
    </row>
    <row r="2774" spans="9:10" x14ac:dyDescent="0.25">
      <c r="I2774" s="199"/>
      <c r="J2774" s="199"/>
    </row>
    <row r="2775" spans="9:10" x14ac:dyDescent="0.25">
      <c r="I2775" s="199"/>
      <c r="J2775" s="199"/>
    </row>
    <row r="2776" spans="9:10" x14ac:dyDescent="0.25">
      <c r="I2776" s="199"/>
      <c r="J2776" s="199"/>
    </row>
    <row r="2777" spans="9:10" x14ac:dyDescent="0.25">
      <c r="I2777" s="199"/>
      <c r="J2777" s="199"/>
    </row>
    <row r="2778" spans="9:10" x14ac:dyDescent="0.25">
      <c r="I2778" s="199"/>
      <c r="J2778" s="199"/>
    </row>
    <row r="2779" spans="9:10" x14ac:dyDescent="0.25">
      <c r="I2779" s="199"/>
      <c r="J2779" s="199"/>
    </row>
    <row r="2780" spans="9:10" x14ac:dyDescent="0.25">
      <c r="I2780" s="199"/>
      <c r="J2780" s="199"/>
    </row>
    <row r="2781" spans="9:10" x14ac:dyDescent="0.25">
      <c r="I2781" s="199"/>
      <c r="J2781" s="199"/>
    </row>
    <row r="2782" spans="9:10" x14ac:dyDescent="0.25">
      <c r="I2782" s="199"/>
      <c r="J2782" s="199"/>
    </row>
    <row r="2783" spans="9:10" x14ac:dyDescent="0.25">
      <c r="I2783" s="199"/>
      <c r="J2783" s="199"/>
    </row>
    <row r="2784" spans="9:10" x14ac:dyDescent="0.25">
      <c r="I2784" s="199"/>
      <c r="J2784" s="199"/>
    </row>
    <row r="2785" spans="9:10" x14ac:dyDescent="0.25">
      <c r="I2785" s="199"/>
      <c r="J2785" s="199"/>
    </row>
    <row r="2786" spans="9:10" x14ac:dyDescent="0.25">
      <c r="I2786" s="199"/>
      <c r="J2786" s="199"/>
    </row>
    <row r="2787" spans="9:10" x14ac:dyDescent="0.25">
      <c r="I2787" s="199"/>
      <c r="J2787" s="199"/>
    </row>
    <row r="2788" spans="9:10" x14ac:dyDescent="0.25">
      <c r="I2788" s="199"/>
      <c r="J2788" s="199"/>
    </row>
    <row r="2789" spans="9:10" x14ac:dyDescent="0.25">
      <c r="I2789" s="199"/>
      <c r="J2789" s="199"/>
    </row>
    <row r="2790" spans="9:10" x14ac:dyDescent="0.25">
      <c r="I2790" s="199"/>
      <c r="J2790" s="199"/>
    </row>
    <row r="2791" spans="9:10" x14ac:dyDescent="0.25">
      <c r="I2791" s="199"/>
      <c r="J2791" s="199"/>
    </row>
    <row r="2792" spans="9:10" x14ac:dyDescent="0.25">
      <c r="I2792" s="199"/>
      <c r="J2792" s="199"/>
    </row>
    <row r="2793" spans="9:10" x14ac:dyDescent="0.25">
      <c r="I2793" s="199"/>
      <c r="J2793" s="199"/>
    </row>
    <row r="2794" spans="9:10" x14ac:dyDescent="0.25">
      <c r="I2794" s="199"/>
      <c r="J2794" s="199"/>
    </row>
    <row r="2795" spans="9:10" x14ac:dyDescent="0.25">
      <c r="I2795" s="199"/>
      <c r="J2795" s="199"/>
    </row>
    <row r="2796" spans="9:10" x14ac:dyDescent="0.25">
      <c r="I2796" s="199"/>
      <c r="J2796" s="199"/>
    </row>
    <row r="2797" spans="9:10" x14ac:dyDescent="0.25">
      <c r="I2797" s="199"/>
      <c r="J2797" s="199"/>
    </row>
    <row r="2798" spans="9:10" x14ac:dyDescent="0.25">
      <c r="I2798" s="199"/>
      <c r="J2798" s="199"/>
    </row>
    <row r="2799" spans="9:10" x14ac:dyDescent="0.25">
      <c r="I2799" s="199"/>
      <c r="J2799" s="199"/>
    </row>
    <row r="2800" spans="9:10" x14ac:dyDescent="0.25">
      <c r="I2800" s="199"/>
      <c r="J2800" s="199"/>
    </row>
    <row r="2801" spans="9:10" x14ac:dyDescent="0.25">
      <c r="I2801" s="199"/>
      <c r="J2801" s="199"/>
    </row>
    <row r="2802" spans="9:10" x14ac:dyDescent="0.25">
      <c r="I2802" s="199"/>
      <c r="J2802" s="199"/>
    </row>
    <row r="2803" spans="9:10" x14ac:dyDescent="0.25">
      <c r="I2803" s="199"/>
      <c r="J2803" s="199"/>
    </row>
    <row r="2804" spans="9:10" x14ac:dyDescent="0.25">
      <c r="I2804" s="199"/>
      <c r="J2804" s="199"/>
    </row>
    <row r="2805" spans="9:10" x14ac:dyDescent="0.25">
      <c r="I2805" s="199"/>
      <c r="J2805" s="199"/>
    </row>
    <row r="2806" spans="9:10" x14ac:dyDescent="0.25">
      <c r="I2806" s="199"/>
      <c r="J2806" s="199"/>
    </row>
    <row r="2807" spans="9:10" x14ac:dyDescent="0.25">
      <c r="I2807" s="199"/>
      <c r="J2807" s="199"/>
    </row>
    <row r="2808" spans="9:10" x14ac:dyDescent="0.25">
      <c r="I2808" s="199"/>
      <c r="J2808" s="199"/>
    </row>
    <row r="2809" spans="9:10" x14ac:dyDescent="0.25">
      <c r="I2809" s="199"/>
      <c r="J2809" s="199"/>
    </row>
    <row r="2810" spans="9:10" x14ac:dyDescent="0.25">
      <c r="I2810" s="199"/>
      <c r="J2810" s="199"/>
    </row>
    <row r="2811" spans="9:10" x14ac:dyDescent="0.25">
      <c r="I2811" s="199"/>
      <c r="J2811" s="199"/>
    </row>
    <row r="2812" spans="9:10" x14ac:dyDescent="0.25">
      <c r="I2812" s="199"/>
      <c r="J2812" s="199"/>
    </row>
    <row r="2813" spans="9:10" x14ac:dyDescent="0.25">
      <c r="I2813" s="199"/>
      <c r="J2813" s="199"/>
    </row>
    <row r="2814" spans="9:10" x14ac:dyDescent="0.25">
      <c r="I2814" s="199"/>
      <c r="J2814" s="199"/>
    </row>
    <row r="2815" spans="9:10" x14ac:dyDescent="0.25">
      <c r="I2815" s="199"/>
      <c r="J2815" s="199"/>
    </row>
    <row r="2816" spans="9:10" x14ac:dyDescent="0.25">
      <c r="I2816" s="199"/>
      <c r="J2816" s="199"/>
    </row>
    <row r="2817" spans="9:10" x14ac:dyDescent="0.25">
      <c r="I2817" s="199"/>
      <c r="J2817" s="199"/>
    </row>
    <row r="2818" spans="9:10" x14ac:dyDescent="0.25">
      <c r="I2818" s="199"/>
      <c r="J2818" s="199"/>
    </row>
    <row r="2819" spans="9:10" x14ac:dyDescent="0.25">
      <c r="I2819" s="199"/>
      <c r="J2819" s="199"/>
    </row>
    <row r="2820" spans="9:10" x14ac:dyDescent="0.25">
      <c r="I2820" s="199"/>
      <c r="J2820" s="199"/>
    </row>
    <row r="2821" spans="9:10" x14ac:dyDescent="0.25">
      <c r="I2821" s="199"/>
      <c r="J2821" s="199"/>
    </row>
    <row r="2822" spans="9:10" x14ac:dyDescent="0.25">
      <c r="I2822" s="199"/>
      <c r="J2822" s="199"/>
    </row>
    <row r="2823" spans="9:10" x14ac:dyDescent="0.25">
      <c r="I2823" s="199"/>
      <c r="J2823" s="199"/>
    </row>
    <row r="2824" spans="9:10" x14ac:dyDescent="0.25">
      <c r="I2824" s="199"/>
      <c r="J2824" s="199"/>
    </row>
    <row r="2825" spans="9:10" x14ac:dyDescent="0.25">
      <c r="I2825" s="199"/>
      <c r="J2825" s="199"/>
    </row>
    <row r="2826" spans="9:10" x14ac:dyDescent="0.25">
      <c r="I2826" s="199"/>
      <c r="J2826" s="199"/>
    </row>
    <row r="2827" spans="9:10" x14ac:dyDescent="0.25">
      <c r="I2827" s="199"/>
      <c r="J2827" s="199"/>
    </row>
    <row r="2828" spans="9:10" x14ac:dyDescent="0.25">
      <c r="I2828" s="199"/>
      <c r="J2828" s="199"/>
    </row>
    <row r="2829" spans="9:10" x14ac:dyDescent="0.25">
      <c r="I2829" s="199"/>
      <c r="J2829" s="199"/>
    </row>
    <row r="2830" spans="9:10" x14ac:dyDescent="0.25">
      <c r="I2830" s="199"/>
      <c r="J2830" s="199"/>
    </row>
    <row r="2831" spans="9:10" x14ac:dyDescent="0.25">
      <c r="I2831" s="199"/>
      <c r="J2831" s="199"/>
    </row>
    <row r="2832" spans="9:10" x14ac:dyDescent="0.25">
      <c r="I2832" s="199"/>
      <c r="J2832" s="199"/>
    </row>
    <row r="2833" spans="9:10" x14ac:dyDescent="0.25">
      <c r="I2833" s="199"/>
      <c r="J2833" s="199"/>
    </row>
    <row r="2834" spans="9:10" x14ac:dyDescent="0.25">
      <c r="I2834" s="199"/>
      <c r="J2834" s="199"/>
    </row>
    <row r="2835" spans="9:10" x14ac:dyDescent="0.25">
      <c r="I2835" s="199"/>
      <c r="J2835" s="199"/>
    </row>
    <row r="2836" spans="9:10" x14ac:dyDescent="0.25">
      <c r="I2836" s="199"/>
      <c r="J2836" s="199"/>
    </row>
    <row r="2837" spans="9:10" x14ac:dyDescent="0.25">
      <c r="I2837" s="199"/>
      <c r="J2837" s="199"/>
    </row>
    <row r="2838" spans="9:10" x14ac:dyDescent="0.25">
      <c r="I2838" s="199"/>
      <c r="J2838" s="199"/>
    </row>
    <row r="2839" spans="9:10" x14ac:dyDescent="0.25">
      <c r="I2839" s="199"/>
      <c r="J2839" s="199"/>
    </row>
    <row r="2840" spans="9:10" x14ac:dyDescent="0.25">
      <c r="I2840" s="199"/>
      <c r="J2840" s="199"/>
    </row>
    <row r="2841" spans="9:10" x14ac:dyDescent="0.25">
      <c r="I2841" s="199"/>
      <c r="J2841" s="199"/>
    </row>
    <row r="2842" spans="9:10" x14ac:dyDescent="0.25">
      <c r="I2842" s="199"/>
      <c r="J2842" s="199"/>
    </row>
    <row r="2843" spans="9:10" x14ac:dyDescent="0.25">
      <c r="I2843" s="199"/>
      <c r="J2843" s="199"/>
    </row>
    <row r="2844" spans="9:10" x14ac:dyDescent="0.25">
      <c r="I2844" s="199"/>
      <c r="J2844" s="199"/>
    </row>
    <row r="2845" spans="9:10" x14ac:dyDescent="0.25">
      <c r="I2845" s="199"/>
      <c r="J2845" s="199"/>
    </row>
    <row r="2846" spans="9:10" x14ac:dyDescent="0.25">
      <c r="I2846" s="199"/>
      <c r="J2846" s="199"/>
    </row>
    <row r="2847" spans="9:10" x14ac:dyDescent="0.25">
      <c r="I2847" s="199"/>
      <c r="J2847" s="199"/>
    </row>
    <row r="2848" spans="9:10" x14ac:dyDescent="0.25">
      <c r="I2848" s="199"/>
      <c r="J2848" s="199"/>
    </row>
    <row r="2849" spans="9:10" x14ac:dyDescent="0.25">
      <c r="I2849" s="199"/>
      <c r="J2849" s="199"/>
    </row>
    <row r="2850" spans="9:10" x14ac:dyDescent="0.25">
      <c r="I2850" s="199"/>
      <c r="J2850" s="199"/>
    </row>
    <row r="2851" spans="9:10" x14ac:dyDescent="0.25">
      <c r="I2851" s="199"/>
      <c r="J2851" s="199"/>
    </row>
    <row r="2852" spans="9:10" x14ac:dyDescent="0.25">
      <c r="I2852" s="199"/>
      <c r="J2852" s="199"/>
    </row>
    <row r="2853" spans="9:10" x14ac:dyDescent="0.25">
      <c r="I2853" s="199"/>
      <c r="J2853" s="199"/>
    </row>
    <row r="2854" spans="9:10" x14ac:dyDescent="0.25">
      <c r="I2854" s="199"/>
      <c r="J2854" s="199"/>
    </row>
    <row r="2855" spans="9:10" x14ac:dyDescent="0.25">
      <c r="I2855" s="199"/>
      <c r="J2855" s="199"/>
    </row>
    <row r="2856" spans="9:10" x14ac:dyDescent="0.25">
      <c r="I2856" s="199"/>
      <c r="J2856" s="199"/>
    </row>
    <row r="2857" spans="9:10" x14ac:dyDescent="0.25">
      <c r="I2857" s="199"/>
      <c r="J2857" s="199"/>
    </row>
    <row r="2858" spans="9:10" x14ac:dyDescent="0.25">
      <c r="I2858" s="199"/>
      <c r="J2858" s="199"/>
    </row>
    <row r="2859" spans="9:10" x14ac:dyDescent="0.25">
      <c r="I2859" s="199"/>
      <c r="J2859" s="199"/>
    </row>
    <row r="2860" spans="9:10" x14ac:dyDescent="0.25">
      <c r="I2860" s="199"/>
      <c r="J2860" s="199"/>
    </row>
    <row r="2861" spans="9:10" x14ac:dyDescent="0.25">
      <c r="I2861" s="199"/>
      <c r="J2861" s="199"/>
    </row>
    <row r="2862" spans="9:10" x14ac:dyDescent="0.25">
      <c r="I2862" s="199"/>
      <c r="J2862" s="199"/>
    </row>
    <row r="2863" spans="9:10" x14ac:dyDescent="0.25">
      <c r="I2863" s="199"/>
      <c r="J2863" s="199"/>
    </row>
    <row r="2864" spans="9:10" x14ac:dyDescent="0.25">
      <c r="I2864" s="199"/>
      <c r="J2864" s="199"/>
    </row>
    <row r="2865" spans="9:10" x14ac:dyDescent="0.25">
      <c r="I2865" s="199"/>
      <c r="J2865" s="199"/>
    </row>
    <row r="2866" spans="9:10" x14ac:dyDescent="0.25">
      <c r="I2866" s="199"/>
      <c r="J2866" s="199"/>
    </row>
    <row r="2867" spans="9:10" x14ac:dyDescent="0.25">
      <c r="I2867" s="199"/>
      <c r="J2867" s="199"/>
    </row>
    <row r="2868" spans="9:10" x14ac:dyDescent="0.25">
      <c r="I2868" s="199"/>
      <c r="J2868" s="199"/>
    </row>
    <row r="2869" spans="9:10" x14ac:dyDescent="0.25">
      <c r="I2869" s="199"/>
      <c r="J2869" s="199"/>
    </row>
    <row r="2870" spans="9:10" x14ac:dyDescent="0.25">
      <c r="I2870" s="199"/>
      <c r="J2870" s="199"/>
    </row>
    <row r="2871" spans="9:10" x14ac:dyDescent="0.25">
      <c r="I2871" s="199"/>
      <c r="J2871" s="199"/>
    </row>
    <row r="2872" spans="9:10" x14ac:dyDescent="0.25">
      <c r="I2872" s="199"/>
      <c r="J2872" s="199"/>
    </row>
    <row r="2873" spans="9:10" x14ac:dyDescent="0.25">
      <c r="I2873" s="199"/>
      <c r="J2873" s="199"/>
    </row>
    <row r="2874" spans="9:10" x14ac:dyDescent="0.25">
      <c r="I2874" s="199"/>
      <c r="J2874" s="199"/>
    </row>
    <row r="2875" spans="9:10" x14ac:dyDescent="0.25">
      <c r="I2875" s="199"/>
      <c r="J2875" s="199"/>
    </row>
    <row r="2876" spans="9:10" x14ac:dyDescent="0.25">
      <c r="I2876" s="199"/>
      <c r="J2876" s="199"/>
    </row>
    <row r="2877" spans="9:10" x14ac:dyDescent="0.25">
      <c r="I2877" s="199"/>
      <c r="J2877" s="199"/>
    </row>
    <row r="2878" spans="9:10" x14ac:dyDescent="0.25">
      <c r="I2878" s="199"/>
      <c r="J2878" s="199"/>
    </row>
    <row r="2879" spans="9:10" x14ac:dyDescent="0.25">
      <c r="I2879" s="199"/>
      <c r="J2879" s="199"/>
    </row>
    <row r="2880" spans="9:10" x14ac:dyDescent="0.25">
      <c r="I2880" s="199"/>
      <c r="J2880" s="199"/>
    </row>
    <row r="2881" spans="9:10" x14ac:dyDescent="0.25">
      <c r="I2881" s="199"/>
      <c r="J2881" s="199"/>
    </row>
    <row r="2882" spans="9:10" x14ac:dyDescent="0.25">
      <c r="I2882" s="199"/>
      <c r="J2882" s="199"/>
    </row>
    <row r="2883" spans="9:10" x14ac:dyDescent="0.25">
      <c r="I2883" s="199"/>
      <c r="J2883" s="199"/>
    </row>
    <row r="2884" spans="9:10" x14ac:dyDescent="0.25">
      <c r="I2884" s="199"/>
      <c r="J2884" s="199"/>
    </row>
    <row r="2885" spans="9:10" x14ac:dyDescent="0.25">
      <c r="I2885" s="199"/>
      <c r="J2885" s="199"/>
    </row>
    <row r="2886" spans="9:10" x14ac:dyDescent="0.25">
      <c r="I2886" s="199"/>
      <c r="J2886" s="199"/>
    </row>
    <row r="2887" spans="9:10" x14ac:dyDescent="0.25">
      <c r="I2887" s="199"/>
      <c r="J2887" s="199"/>
    </row>
    <row r="2888" spans="9:10" x14ac:dyDescent="0.25">
      <c r="I2888" s="199"/>
      <c r="J2888" s="199"/>
    </row>
    <row r="2889" spans="9:10" x14ac:dyDescent="0.25">
      <c r="I2889" s="199"/>
      <c r="J2889" s="199"/>
    </row>
    <row r="2890" spans="9:10" x14ac:dyDescent="0.25">
      <c r="I2890" s="199"/>
      <c r="J2890" s="199"/>
    </row>
    <row r="2891" spans="9:10" x14ac:dyDescent="0.25">
      <c r="I2891" s="199"/>
      <c r="J2891" s="199"/>
    </row>
    <row r="2892" spans="9:10" x14ac:dyDescent="0.25">
      <c r="I2892" s="199"/>
      <c r="J2892" s="199"/>
    </row>
    <row r="2893" spans="9:10" x14ac:dyDescent="0.25">
      <c r="I2893" s="199"/>
      <c r="J2893" s="199"/>
    </row>
    <row r="2894" spans="9:10" x14ac:dyDescent="0.25">
      <c r="I2894" s="199"/>
      <c r="J2894" s="199"/>
    </row>
    <row r="2895" spans="9:10" x14ac:dyDescent="0.25">
      <c r="I2895" s="199"/>
      <c r="J2895" s="199"/>
    </row>
    <row r="2896" spans="9:10" x14ac:dyDescent="0.25">
      <c r="I2896" s="199"/>
      <c r="J2896" s="199"/>
    </row>
    <row r="2897" spans="9:10" x14ac:dyDescent="0.25">
      <c r="I2897" s="199"/>
      <c r="J2897" s="199"/>
    </row>
    <row r="2898" spans="9:10" x14ac:dyDescent="0.25">
      <c r="I2898" s="199"/>
      <c r="J2898" s="199"/>
    </row>
    <row r="2899" spans="9:10" x14ac:dyDescent="0.25">
      <c r="I2899" s="199"/>
      <c r="J2899" s="199"/>
    </row>
    <row r="2900" spans="9:10" x14ac:dyDescent="0.25">
      <c r="I2900" s="199"/>
      <c r="J2900" s="199"/>
    </row>
    <row r="2901" spans="9:10" x14ac:dyDescent="0.25">
      <c r="I2901" s="199"/>
      <c r="J2901" s="199"/>
    </row>
    <row r="2902" spans="9:10" x14ac:dyDescent="0.25">
      <c r="I2902" s="199"/>
      <c r="J2902" s="199"/>
    </row>
    <row r="2903" spans="9:10" x14ac:dyDescent="0.25">
      <c r="I2903" s="199"/>
      <c r="J2903" s="199"/>
    </row>
    <row r="2904" spans="9:10" x14ac:dyDescent="0.25">
      <c r="I2904" s="199"/>
      <c r="J2904" s="199"/>
    </row>
    <row r="2905" spans="9:10" x14ac:dyDescent="0.25">
      <c r="I2905" s="199"/>
      <c r="J2905" s="199"/>
    </row>
    <row r="2906" spans="9:10" x14ac:dyDescent="0.25">
      <c r="I2906" s="199"/>
      <c r="J2906" s="199"/>
    </row>
    <row r="2907" spans="9:10" x14ac:dyDescent="0.25">
      <c r="I2907" s="199"/>
      <c r="J2907" s="199"/>
    </row>
    <row r="2908" spans="9:10" x14ac:dyDescent="0.25">
      <c r="I2908" s="199"/>
      <c r="J2908" s="199"/>
    </row>
    <row r="2909" spans="9:10" x14ac:dyDescent="0.25">
      <c r="I2909" s="199"/>
      <c r="J2909" s="199"/>
    </row>
    <row r="2910" spans="9:10" x14ac:dyDescent="0.25">
      <c r="I2910" s="199"/>
      <c r="J2910" s="199"/>
    </row>
    <row r="2911" spans="9:10" x14ac:dyDescent="0.25">
      <c r="I2911" s="199"/>
      <c r="J2911" s="199"/>
    </row>
    <row r="2912" spans="9:10" x14ac:dyDescent="0.25">
      <c r="I2912" s="199"/>
      <c r="J2912" s="199"/>
    </row>
    <row r="2913" spans="9:10" x14ac:dyDescent="0.25">
      <c r="I2913" s="199"/>
      <c r="J2913" s="199"/>
    </row>
    <row r="2914" spans="9:10" x14ac:dyDescent="0.25">
      <c r="I2914" s="199"/>
      <c r="J2914" s="199"/>
    </row>
    <row r="2915" spans="9:10" x14ac:dyDescent="0.25">
      <c r="I2915" s="199"/>
      <c r="J2915" s="199"/>
    </row>
    <row r="2916" spans="9:10" x14ac:dyDescent="0.25">
      <c r="I2916" s="199"/>
      <c r="J2916" s="199"/>
    </row>
    <row r="2917" spans="9:10" x14ac:dyDescent="0.25">
      <c r="I2917" s="199"/>
      <c r="J2917" s="199"/>
    </row>
    <row r="2918" spans="9:10" x14ac:dyDescent="0.25">
      <c r="I2918" s="199"/>
      <c r="J2918" s="199"/>
    </row>
    <row r="2919" spans="9:10" x14ac:dyDescent="0.25">
      <c r="I2919" s="199"/>
      <c r="J2919" s="199"/>
    </row>
    <row r="2920" spans="9:10" x14ac:dyDescent="0.25">
      <c r="I2920" s="199"/>
      <c r="J2920" s="199"/>
    </row>
    <row r="2921" spans="9:10" x14ac:dyDescent="0.25">
      <c r="I2921" s="199"/>
      <c r="J2921" s="199"/>
    </row>
    <row r="2922" spans="9:10" x14ac:dyDescent="0.25">
      <c r="I2922" s="199"/>
      <c r="J2922" s="199"/>
    </row>
    <row r="2923" spans="9:10" x14ac:dyDescent="0.25">
      <c r="I2923" s="199"/>
      <c r="J2923" s="199"/>
    </row>
    <row r="2924" spans="9:10" x14ac:dyDescent="0.25">
      <c r="I2924" s="199"/>
      <c r="J2924" s="199"/>
    </row>
    <row r="2925" spans="9:10" x14ac:dyDescent="0.25">
      <c r="I2925" s="199"/>
      <c r="J2925" s="199"/>
    </row>
    <row r="2926" spans="9:10" x14ac:dyDescent="0.25">
      <c r="I2926" s="199"/>
      <c r="J2926" s="199"/>
    </row>
    <row r="2927" spans="9:10" x14ac:dyDescent="0.25">
      <c r="I2927" s="199"/>
      <c r="J2927" s="199"/>
    </row>
    <row r="2928" spans="9:10" x14ac:dyDescent="0.25">
      <c r="I2928" s="199"/>
      <c r="J2928" s="199"/>
    </row>
    <row r="2929" spans="9:10" x14ac:dyDescent="0.25">
      <c r="I2929" s="199"/>
      <c r="J2929" s="199"/>
    </row>
    <row r="2930" spans="9:10" x14ac:dyDescent="0.25">
      <c r="I2930" s="199"/>
      <c r="J2930" s="199"/>
    </row>
    <row r="2931" spans="9:10" x14ac:dyDescent="0.25">
      <c r="I2931" s="199"/>
      <c r="J2931" s="199"/>
    </row>
    <row r="2932" spans="9:10" x14ac:dyDescent="0.25">
      <c r="I2932" s="199"/>
      <c r="J2932" s="199"/>
    </row>
    <row r="2933" spans="9:10" x14ac:dyDescent="0.25">
      <c r="I2933" s="199"/>
      <c r="J2933" s="199"/>
    </row>
    <row r="2934" spans="9:10" x14ac:dyDescent="0.25">
      <c r="I2934" s="199"/>
      <c r="J2934" s="199"/>
    </row>
    <row r="2935" spans="9:10" x14ac:dyDescent="0.25">
      <c r="I2935" s="199"/>
      <c r="J2935" s="199"/>
    </row>
    <row r="2936" spans="9:10" x14ac:dyDescent="0.25">
      <c r="I2936" s="199"/>
      <c r="J2936" s="199"/>
    </row>
    <row r="2937" spans="9:10" x14ac:dyDescent="0.25">
      <c r="I2937" s="199"/>
      <c r="J2937" s="199"/>
    </row>
    <row r="2938" spans="9:10" x14ac:dyDescent="0.25">
      <c r="I2938" s="199"/>
      <c r="J2938" s="199"/>
    </row>
    <row r="2939" spans="9:10" x14ac:dyDescent="0.25">
      <c r="I2939" s="199"/>
      <c r="J2939" s="199"/>
    </row>
    <row r="2940" spans="9:10" x14ac:dyDescent="0.25">
      <c r="I2940" s="199"/>
      <c r="J2940" s="199"/>
    </row>
    <row r="2941" spans="9:10" x14ac:dyDescent="0.25">
      <c r="I2941" s="199"/>
      <c r="J2941" s="199"/>
    </row>
    <row r="2942" spans="9:10" x14ac:dyDescent="0.25">
      <c r="I2942" s="199"/>
      <c r="J2942" s="199"/>
    </row>
    <row r="2943" spans="9:10" x14ac:dyDescent="0.25">
      <c r="I2943" s="199"/>
      <c r="J2943" s="199"/>
    </row>
    <row r="2944" spans="9:10" x14ac:dyDescent="0.25">
      <c r="I2944" s="199"/>
      <c r="J2944" s="199"/>
    </row>
    <row r="2945" spans="9:10" x14ac:dyDescent="0.25">
      <c r="I2945" s="199"/>
      <c r="J2945" s="199"/>
    </row>
    <row r="2946" spans="9:10" x14ac:dyDescent="0.25">
      <c r="I2946" s="199"/>
      <c r="J2946" s="199"/>
    </row>
    <row r="2947" spans="9:10" x14ac:dyDescent="0.25">
      <c r="I2947" s="199"/>
      <c r="J2947" s="199"/>
    </row>
    <row r="2948" spans="9:10" x14ac:dyDescent="0.25">
      <c r="I2948" s="199"/>
      <c r="J2948" s="199"/>
    </row>
    <row r="2949" spans="9:10" x14ac:dyDescent="0.25">
      <c r="I2949" s="199"/>
      <c r="J2949" s="199"/>
    </row>
    <row r="2950" spans="9:10" x14ac:dyDescent="0.25">
      <c r="I2950" s="199"/>
      <c r="J2950" s="199"/>
    </row>
    <row r="2951" spans="9:10" x14ac:dyDescent="0.25">
      <c r="I2951" s="199"/>
      <c r="J2951" s="199"/>
    </row>
    <row r="2952" spans="9:10" x14ac:dyDescent="0.25">
      <c r="I2952" s="199"/>
      <c r="J2952" s="199"/>
    </row>
    <row r="2953" spans="9:10" x14ac:dyDescent="0.25">
      <c r="I2953" s="199"/>
      <c r="J2953" s="199"/>
    </row>
    <row r="2954" spans="9:10" x14ac:dyDescent="0.25">
      <c r="I2954" s="199"/>
      <c r="J2954" s="199"/>
    </row>
    <row r="2955" spans="9:10" x14ac:dyDescent="0.25">
      <c r="I2955" s="199"/>
      <c r="J2955" s="199"/>
    </row>
    <row r="2956" spans="9:10" x14ac:dyDescent="0.25">
      <c r="I2956" s="199"/>
      <c r="J2956" s="199"/>
    </row>
    <row r="2957" spans="9:10" x14ac:dyDescent="0.25">
      <c r="I2957" s="199"/>
      <c r="J2957" s="199"/>
    </row>
    <row r="2958" spans="9:10" x14ac:dyDescent="0.25">
      <c r="I2958" s="199"/>
      <c r="J2958" s="199"/>
    </row>
    <row r="2959" spans="9:10" x14ac:dyDescent="0.25">
      <c r="I2959" s="199"/>
      <c r="J2959" s="199"/>
    </row>
    <row r="2960" spans="9:10" x14ac:dyDescent="0.25">
      <c r="I2960" s="199"/>
      <c r="J2960" s="199"/>
    </row>
    <row r="2961" spans="9:10" x14ac:dyDescent="0.25">
      <c r="I2961" s="199"/>
      <c r="J2961" s="199"/>
    </row>
    <row r="2962" spans="9:10" x14ac:dyDescent="0.25">
      <c r="I2962" s="199"/>
      <c r="J2962" s="199"/>
    </row>
    <row r="2963" spans="9:10" x14ac:dyDescent="0.25">
      <c r="I2963" s="199"/>
      <c r="J2963" s="199"/>
    </row>
    <row r="2964" spans="9:10" x14ac:dyDescent="0.25">
      <c r="I2964" s="199"/>
      <c r="J2964" s="199"/>
    </row>
    <row r="2965" spans="9:10" x14ac:dyDescent="0.25">
      <c r="I2965" s="199"/>
      <c r="J2965" s="199"/>
    </row>
    <row r="2966" spans="9:10" x14ac:dyDescent="0.25">
      <c r="I2966" s="199"/>
      <c r="J2966" s="199"/>
    </row>
    <row r="2967" spans="9:10" x14ac:dyDescent="0.25">
      <c r="I2967" s="199"/>
      <c r="J2967" s="199"/>
    </row>
    <row r="2968" spans="9:10" x14ac:dyDescent="0.25">
      <c r="I2968" s="199"/>
      <c r="J2968" s="199"/>
    </row>
    <row r="2969" spans="9:10" x14ac:dyDescent="0.25">
      <c r="I2969" s="199"/>
      <c r="J2969" s="199"/>
    </row>
    <row r="2970" spans="9:10" x14ac:dyDescent="0.25">
      <c r="I2970" s="199"/>
      <c r="J2970" s="199"/>
    </row>
    <row r="2971" spans="9:10" x14ac:dyDescent="0.25">
      <c r="I2971" s="199"/>
      <c r="J2971" s="199"/>
    </row>
    <row r="2972" spans="9:10" x14ac:dyDescent="0.25">
      <c r="I2972" s="199"/>
      <c r="J2972" s="199"/>
    </row>
    <row r="2973" spans="9:10" x14ac:dyDescent="0.25">
      <c r="I2973" s="199"/>
      <c r="J2973" s="199"/>
    </row>
    <row r="2974" spans="9:10" x14ac:dyDescent="0.25">
      <c r="I2974" s="199"/>
      <c r="J2974" s="199"/>
    </row>
    <row r="2975" spans="9:10" x14ac:dyDescent="0.25">
      <c r="I2975" s="199"/>
      <c r="J2975" s="199"/>
    </row>
    <row r="2976" spans="9:10" x14ac:dyDescent="0.25">
      <c r="I2976" s="199"/>
      <c r="J2976" s="199"/>
    </row>
    <row r="2977" spans="9:10" x14ac:dyDescent="0.25">
      <c r="I2977" s="199"/>
      <c r="J2977" s="199"/>
    </row>
    <row r="2978" spans="9:10" x14ac:dyDescent="0.25">
      <c r="I2978" s="199"/>
      <c r="J2978" s="199"/>
    </row>
    <row r="2979" spans="9:10" x14ac:dyDescent="0.25">
      <c r="I2979" s="199"/>
      <c r="J2979" s="199"/>
    </row>
    <row r="2980" spans="9:10" x14ac:dyDescent="0.25">
      <c r="I2980" s="199"/>
      <c r="J2980" s="199"/>
    </row>
    <row r="2981" spans="9:10" x14ac:dyDescent="0.25">
      <c r="I2981" s="199"/>
      <c r="J2981" s="199"/>
    </row>
    <row r="2982" spans="9:10" x14ac:dyDescent="0.25">
      <c r="I2982" s="199"/>
      <c r="J2982" s="199"/>
    </row>
    <row r="2983" spans="9:10" x14ac:dyDescent="0.25">
      <c r="I2983" s="199"/>
      <c r="J2983" s="199"/>
    </row>
    <row r="2984" spans="9:10" x14ac:dyDescent="0.25">
      <c r="I2984" s="199"/>
      <c r="J2984" s="199"/>
    </row>
    <row r="2985" spans="9:10" x14ac:dyDescent="0.25">
      <c r="I2985" s="199"/>
      <c r="J2985" s="199"/>
    </row>
    <row r="2986" spans="9:10" x14ac:dyDescent="0.25">
      <c r="I2986" s="199"/>
      <c r="J2986" s="199"/>
    </row>
    <row r="2987" spans="9:10" x14ac:dyDescent="0.25">
      <c r="I2987" s="199"/>
      <c r="J2987" s="199"/>
    </row>
    <row r="2988" spans="9:10" x14ac:dyDescent="0.25">
      <c r="I2988" s="199"/>
      <c r="J2988" s="199"/>
    </row>
    <row r="2989" spans="9:10" x14ac:dyDescent="0.25">
      <c r="I2989" s="199"/>
      <c r="J2989" s="199"/>
    </row>
    <row r="2990" spans="9:10" x14ac:dyDescent="0.25">
      <c r="I2990" s="199"/>
      <c r="J2990" s="199"/>
    </row>
    <row r="2991" spans="9:10" x14ac:dyDescent="0.25">
      <c r="I2991" s="199"/>
      <c r="J2991" s="199"/>
    </row>
    <row r="2992" spans="9:10" x14ac:dyDescent="0.25">
      <c r="I2992" s="199"/>
      <c r="J2992" s="199"/>
    </row>
    <row r="2993" spans="9:10" x14ac:dyDescent="0.25">
      <c r="I2993" s="199"/>
      <c r="J2993" s="199"/>
    </row>
    <row r="2994" spans="9:10" x14ac:dyDescent="0.25">
      <c r="I2994" s="199"/>
      <c r="J2994" s="199"/>
    </row>
    <row r="2995" spans="9:10" x14ac:dyDescent="0.25">
      <c r="I2995" s="199"/>
      <c r="J2995" s="199"/>
    </row>
    <row r="2996" spans="9:10" x14ac:dyDescent="0.25">
      <c r="I2996" s="199"/>
      <c r="J2996" s="199"/>
    </row>
    <row r="2997" spans="9:10" x14ac:dyDescent="0.25">
      <c r="I2997" s="199"/>
      <c r="J2997" s="199"/>
    </row>
    <row r="2998" spans="9:10" x14ac:dyDescent="0.25">
      <c r="I2998" s="199"/>
      <c r="J2998" s="199"/>
    </row>
    <row r="2999" spans="9:10" x14ac:dyDescent="0.25">
      <c r="I2999" s="199"/>
      <c r="J2999" s="199"/>
    </row>
    <row r="3000" spans="9:10" x14ac:dyDescent="0.25">
      <c r="I3000" s="199"/>
      <c r="J3000" s="199"/>
    </row>
    <row r="3001" spans="9:10" x14ac:dyDescent="0.25">
      <c r="I3001" s="199"/>
      <c r="J3001" s="199"/>
    </row>
    <row r="3002" spans="9:10" x14ac:dyDescent="0.25">
      <c r="I3002" s="199"/>
      <c r="J3002" s="199"/>
    </row>
    <row r="3003" spans="9:10" x14ac:dyDescent="0.25">
      <c r="I3003" s="199"/>
      <c r="J3003" s="199"/>
    </row>
    <row r="3004" spans="9:10" x14ac:dyDescent="0.25">
      <c r="I3004" s="199"/>
      <c r="J3004" s="199"/>
    </row>
    <row r="3005" spans="9:10" x14ac:dyDescent="0.25">
      <c r="I3005" s="199"/>
      <c r="J3005" s="199"/>
    </row>
    <row r="3006" spans="9:10" x14ac:dyDescent="0.25">
      <c r="I3006" s="199"/>
      <c r="J3006" s="199"/>
    </row>
    <row r="3007" spans="9:10" x14ac:dyDescent="0.25">
      <c r="I3007" s="199"/>
      <c r="J3007" s="199"/>
    </row>
    <row r="3008" spans="9:10" x14ac:dyDescent="0.25">
      <c r="I3008" s="199"/>
      <c r="J3008" s="199"/>
    </row>
    <row r="3009" spans="9:10" x14ac:dyDescent="0.25">
      <c r="I3009" s="199"/>
      <c r="J3009" s="199"/>
    </row>
    <row r="3010" spans="9:10" x14ac:dyDescent="0.25">
      <c r="I3010" s="199"/>
      <c r="J3010" s="199"/>
    </row>
    <row r="3011" spans="9:10" x14ac:dyDescent="0.25">
      <c r="I3011" s="199"/>
      <c r="J3011" s="199"/>
    </row>
    <row r="3012" spans="9:10" x14ac:dyDescent="0.25">
      <c r="I3012" s="199"/>
      <c r="J3012" s="199"/>
    </row>
    <row r="3013" spans="9:10" x14ac:dyDescent="0.25">
      <c r="I3013" s="199"/>
      <c r="J3013" s="199"/>
    </row>
    <row r="3014" spans="9:10" x14ac:dyDescent="0.25">
      <c r="I3014" s="199"/>
      <c r="J3014" s="199"/>
    </row>
    <row r="3015" spans="9:10" x14ac:dyDescent="0.25">
      <c r="I3015" s="199"/>
      <c r="J3015" s="199"/>
    </row>
    <row r="3016" spans="9:10" x14ac:dyDescent="0.25">
      <c r="I3016" s="199"/>
      <c r="J3016" s="199"/>
    </row>
    <row r="3017" spans="9:10" x14ac:dyDescent="0.25">
      <c r="I3017" s="199"/>
      <c r="J3017" s="199"/>
    </row>
    <row r="3018" spans="9:10" x14ac:dyDescent="0.25">
      <c r="I3018" s="199"/>
      <c r="J3018" s="199"/>
    </row>
    <row r="3019" spans="9:10" x14ac:dyDescent="0.25">
      <c r="I3019" s="199"/>
      <c r="J3019" s="199"/>
    </row>
    <row r="3020" spans="9:10" x14ac:dyDescent="0.25">
      <c r="I3020" s="199"/>
      <c r="J3020" s="199"/>
    </row>
    <row r="3021" spans="9:10" x14ac:dyDescent="0.25">
      <c r="I3021" s="199"/>
      <c r="J3021" s="199"/>
    </row>
    <row r="3022" spans="9:10" x14ac:dyDescent="0.25">
      <c r="I3022" s="199"/>
      <c r="J3022" s="199"/>
    </row>
    <row r="3023" spans="9:10" x14ac:dyDescent="0.25">
      <c r="I3023" s="199"/>
      <c r="J3023" s="199"/>
    </row>
    <row r="3024" spans="9:10" x14ac:dyDescent="0.25">
      <c r="I3024" s="199"/>
      <c r="J3024" s="199"/>
    </row>
    <row r="3025" spans="9:10" x14ac:dyDescent="0.25">
      <c r="I3025" s="199"/>
      <c r="J3025" s="199"/>
    </row>
    <row r="3026" spans="9:10" x14ac:dyDescent="0.25">
      <c r="I3026" s="199"/>
      <c r="J3026" s="199"/>
    </row>
    <row r="3027" spans="9:10" x14ac:dyDescent="0.25">
      <c r="I3027" s="199"/>
      <c r="J3027" s="199"/>
    </row>
    <row r="3028" spans="9:10" x14ac:dyDescent="0.25">
      <c r="I3028" s="199"/>
      <c r="J3028" s="199"/>
    </row>
    <row r="3029" spans="9:10" x14ac:dyDescent="0.25">
      <c r="I3029" s="199"/>
      <c r="J3029" s="199"/>
    </row>
    <row r="3030" spans="9:10" x14ac:dyDescent="0.25">
      <c r="I3030" s="199"/>
      <c r="J3030" s="199"/>
    </row>
    <row r="3031" spans="9:10" x14ac:dyDescent="0.25">
      <c r="I3031" s="199"/>
      <c r="J3031" s="199"/>
    </row>
    <row r="3032" spans="9:10" x14ac:dyDescent="0.25">
      <c r="I3032" s="199"/>
      <c r="J3032" s="199"/>
    </row>
    <row r="3033" spans="9:10" x14ac:dyDescent="0.25">
      <c r="I3033" s="199"/>
      <c r="J3033" s="199"/>
    </row>
    <row r="3034" spans="9:10" x14ac:dyDescent="0.25">
      <c r="I3034" s="199"/>
      <c r="J3034" s="199"/>
    </row>
    <row r="3035" spans="9:10" x14ac:dyDescent="0.25">
      <c r="I3035" s="199"/>
      <c r="J3035" s="199"/>
    </row>
    <row r="3036" spans="9:10" x14ac:dyDescent="0.25">
      <c r="I3036" s="199"/>
      <c r="J3036" s="199"/>
    </row>
    <row r="3037" spans="9:10" x14ac:dyDescent="0.25">
      <c r="I3037" s="199"/>
      <c r="J3037" s="199"/>
    </row>
    <row r="3038" spans="9:10" x14ac:dyDescent="0.25">
      <c r="I3038" s="199"/>
      <c r="J3038" s="199"/>
    </row>
    <row r="3039" spans="9:10" x14ac:dyDescent="0.25">
      <c r="I3039" s="199"/>
      <c r="J3039" s="199"/>
    </row>
    <row r="3040" spans="9:10" x14ac:dyDescent="0.25">
      <c r="I3040" s="199"/>
      <c r="J3040" s="199"/>
    </row>
    <row r="3041" spans="9:10" x14ac:dyDescent="0.25">
      <c r="I3041" s="199"/>
      <c r="J3041" s="199"/>
    </row>
    <row r="3042" spans="9:10" x14ac:dyDescent="0.25">
      <c r="I3042" s="199"/>
      <c r="J3042" s="199"/>
    </row>
    <row r="3043" spans="9:10" x14ac:dyDescent="0.25">
      <c r="I3043" s="199"/>
      <c r="J3043" s="199"/>
    </row>
    <row r="3044" spans="9:10" x14ac:dyDescent="0.25">
      <c r="I3044" s="199"/>
      <c r="J3044" s="199"/>
    </row>
    <row r="3045" spans="9:10" x14ac:dyDescent="0.25">
      <c r="I3045" s="199"/>
      <c r="J3045" s="199"/>
    </row>
    <row r="3046" spans="9:10" x14ac:dyDescent="0.25">
      <c r="I3046" s="199"/>
      <c r="J3046" s="199"/>
    </row>
    <row r="3047" spans="9:10" x14ac:dyDescent="0.25">
      <c r="I3047" s="199"/>
      <c r="J3047" s="199"/>
    </row>
    <row r="3048" spans="9:10" x14ac:dyDescent="0.25">
      <c r="I3048" s="199"/>
      <c r="J3048" s="199"/>
    </row>
    <row r="3049" spans="9:10" x14ac:dyDescent="0.25">
      <c r="I3049" s="199"/>
      <c r="J3049" s="199"/>
    </row>
    <row r="3050" spans="9:10" x14ac:dyDescent="0.25">
      <c r="I3050" s="199"/>
      <c r="J3050" s="199"/>
    </row>
    <row r="3051" spans="9:10" x14ac:dyDescent="0.25">
      <c r="I3051" s="199"/>
      <c r="J3051" s="199"/>
    </row>
    <row r="3052" spans="9:10" x14ac:dyDescent="0.25">
      <c r="I3052" s="199"/>
      <c r="J3052" s="199"/>
    </row>
    <row r="3053" spans="9:10" x14ac:dyDescent="0.25">
      <c r="I3053" s="199"/>
      <c r="J3053" s="199"/>
    </row>
    <row r="3054" spans="9:10" x14ac:dyDescent="0.25">
      <c r="I3054" s="199"/>
      <c r="J3054" s="199"/>
    </row>
    <row r="3055" spans="9:10" x14ac:dyDescent="0.25">
      <c r="I3055" s="199"/>
      <c r="J3055" s="199"/>
    </row>
    <row r="3056" spans="9:10" x14ac:dyDescent="0.25">
      <c r="I3056" s="199"/>
      <c r="J3056" s="199"/>
    </row>
    <row r="3057" spans="9:10" x14ac:dyDescent="0.25">
      <c r="I3057" s="199"/>
      <c r="J3057" s="199"/>
    </row>
    <row r="3058" spans="9:10" x14ac:dyDescent="0.25">
      <c r="I3058" s="199"/>
      <c r="J3058" s="199"/>
    </row>
    <row r="3059" spans="9:10" x14ac:dyDescent="0.25">
      <c r="I3059" s="199"/>
      <c r="J3059" s="199"/>
    </row>
    <row r="3060" spans="9:10" x14ac:dyDescent="0.25">
      <c r="I3060" s="199"/>
      <c r="J3060" s="199"/>
    </row>
    <row r="3061" spans="9:10" x14ac:dyDescent="0.25">
      <c r="I3061" s="199"/>
      <c r="J3061" s="199"/>
    </row>
    <row r="3062" spans="9:10" x14ac:dyDescent="0.25">
      <c r="I3062" s="199"/>
      <c r="J3062" s="199"/>
    </row>
    <row r="3063" spans="9:10" x14ac:dyDescent="0.25">
      <c r="I3063" s="199"/>
      <c r="J3063" s="199"/>
    </row>
    <row r="3064" spans="9:10" x14ac:dyDescent="0.25">
      <c r="I3064" s="199"/>
      <c r="J3064" s="199"/>
    </row>
    <row r="3065" spans="9:10" x14ac:dyDescent="0.25">
      <c r="I3065" s="199"/>
      <c r="J3065" s="199"/>
    </row>
    <row r="3066" spans="9:10" x14ac:dyDescent="0.25">
      <c r="I3066" s="199"/>
      <c r="J3066" s="199"/>
    </row>
    <row r="3067" spans="9:10" x14ac:dyDescent="0.25">
      <c r="I3067" s="199"/>
      <c r="J3067" s="199"/>
    </row>
    <row r="3068" spans="9:10" x14ac:dyDescent="0.25">
      <c r="I3068" s="199"/>
      <c r="J3068" s="199"/>
    </row>
    <row r="3069" spans="9:10" x14ac:dyDescent="0.25">
      <c r="I3069" s="199"/>
      <c r="J3069" s="199"/>
    </row>
    <row r="3070" spans="9:10" x14ac:dyDescent="0.25">
      <c r="I3070" s="199"/>
      <c r="J3070" s="199"/>
    </row>
    <row r="3071" spans="9:10" x14ac:dyDescent="0.25">
      <c r="I3071" s="199"/>
      <c r="J3071" s="199"/>
    </row>
    <row r="3072" spans="9:10" x14ac:dyDescent="0.25">
      <c r="I3072" s="199"/>
      <c r="J3072" s="199"/>
    </row>
    <row r="3073" spans="9:10" x14ac:dyDescent="0.25">
      <c r="I3073" s="199"/>
      <c r="J3073" s="199"/>
    </row>
    <row r="3074" spans="9:10" x14ac:dyDescent="0.25">
      <c r="I3074" s="199"/>
      <c r="J3074" s="199"/>
    </row>
    <row r="3075" spans="9:10" x14ac:dyDescent="0.25">
      <c r="I3075" s="199"/>
      <c r="J3075" s="199"/>
    </row>
    <row r="3076" spans="9:10" x14ac:dyDescent="0.25">
      <c r="I3076" s="199"/>
      <c r="J3076" s="199"/>
    </row>
    <row r="3077" spans="9:10" x14ac:dyDescent="0.25">
      <c r="I3077" s="199"/>
      <c r="J3077" s="199"/>
    </row>
    <row r="3078" spans="9:10" x14ac:dyDescent="0.25">
      <c r="I3078" s="199"/>
      <c r="J3078" s="199"/>
    </row>
    <row r="3079" spans="9:10" x14ac:dyDescent="0.25">
      <c r="I3079" s="199"/>
      <c r="J3079" s="199"/>
    </row>
    <row r="3080" spans="9:10" x14ac:dyDescent="0.25">
      <c r="I3080" s="199"/>
      <c r="J3080" s="199"/>
    </row>
    <row r="3081" spans="9:10" x14ac:dyDescent="0.25">
      <c r="I3081" s="199"/>
      <c r="J3081" s="199"/>
    </row>
    <row r="3082" spans="9:10" x14ac:dyDescent="0.25">
      <c r="I3082" s="199"/>
      <c r="J3082" s="199"/>
    </row>
    <row r="3083" spans="9:10" x14ac:dyDescent="0.25">
      <c r="I3083" s="199"/>
      <c r="J3083" s="199"/>
    </row>
    <row r="3084" spans="9:10" x14ac:dyDescent="0.25">
      <c r="I3084" s="199"/>
      <c r="J3084" s="199"/>
    </row>
    <row r="3085" spans="9:10" x14ac:dyDescent="0.25">
      <c r="I3085" s="199"/>
      <c r="J3085" s="199"/>
    </row>
    <row r="3086" spans="9:10" x14ac:dyDescent="0.25">
      <c r="I3086" s="199"/>
      <c r="J3086" s="199"/>
    </row>
    <row r="3087" spans="9:10" x14ac:dyDescent="0.25">
      <c r="I3087" s="199"/>
      <c r="J3087" s="199"/>
    </row>
    <row r="3088" spans="9:10" x14ac:dyDescent="0.25">
      <c r="I3088" s="199"/>
      <c r="J3088" s="199"/>
    </row>
    <row r="3089" spans="9:10" x14ac:dyDescent="0.25">
      <c r="I3089" s="199"/>
      <c r="J3089" s="199"/>
    </row>
    <row r="3090" spans="9:10" x14ac:dyDescent="0.25">
      <c r="I3090" s="199"/>
      <c r="J3090" s="199"/>
    </row>
    <row r="3091" spans="9:10" x14ac:dyDescent="0.25">
      <c r="I3091" s="199"/>
      <c r="J3091" s="199"/>
    </row>
    <row r="3092" spans="9:10" x14ac:dyDescent="0.25">
      <c r="I3092" s="199"/>
      <c r="J3092" s="199"/>
    </row>
    <row r="3093" spans="9:10" x14ac:dyDescent="0.25">
      <c r="I3093" s="199"/>
      <c r="J3093" s="199"/>
    </row>
    <row r="3094" spans="9:10" x14ac:dyDescent="0.25">
      <c r="I3094" s="199"/>
      <c r="J3094" s="199"/>
    </row>
    <row r="3095" spans="9:10" x14ac:dyDescent="0.25">
      <c r="I3095" s="199"/>
      <c r="J3095" s="199"/>
    </row>
    <row r="3096" spans="9:10" x14ac:dyDescent="0.25">
      <c r="I3096" s="199"/>
      <c r="J3096" s="199"/>
    </row>
    <row r="3097" spans="9:10" x14ac:dyDescent="0.25">
      <c r="I3097" s="199"/>
      <c r="J3097" s="199"/>
    </row>
    <row r="3098" spans="9:10" x14ac:dyDescent="0.25">
      <c r="I3098" s="199"/>
      <c r="J3098" s="199"/>
    </row>
    <row r="3099" spans="9:10" x14ac:dyDescent="0.25">
      <c r="I3099" s="199"/>
      <c r="J3099" s="199"/>
    </row>
    <row r="3100" spans="9:10" x14ac:dyDescent="0.25">
      <c r="I3100" s="199"/>
      <c r="J3100" s="199"/>
    </row>
    <row r="3101" spans="9:10" x14ac:dyDescent="0.25">
      <c r="I3101" s="199"/>
      <c r="J3101" s="199"/>
    </row>
    <row r="3102" spans="9:10" x14ac:dyDescent="0.25">
      <c r="I3102" s="199"/>
      <c r="J3102" s="199"/>
    </row>
    <row r="3103" spans="9:10" x14ac:dyDescent="0.25">
      <c r="I3103" s="199"/>
      <c r="J3103" s="199"/>
    </row>
    <row r="3104" spans="9:10" x14ac:dyDescent="0.25">
      <c r="I3104" s="199"/>
      <c r="J3104" s="199"/>
    </row>
    <row r="3105" spans="9:10" x14ac:dyDescent="0.25">
      <c r="I3105" s="199"/>
      <c r="J3105" s="199"/>
    </row>
    <row r="3106" spans="9:10" x14ac:dyDescent="0.25">
      <c r="I3106" s="199"/>
      <c r="J3106" s="199"/>
    </row>
    <row r="3107" spans="9:10" x14ac:dyDescent="0.25">
      <c r="I3107" s="199"/>
      <c r="J3107" s="199"/>
    </row>
    <row r="3108" spans="9:10" x14ac:dyDescent="0.25">
      <c r="I3108" s="199"/>
      <c r="J3108" s="199"/>
    </row>
    <row r="3109" spans="9:10" x14ac:dyDescent="0.25">
      <c r="I3109" s="199"/>
      <c r="J3109" s="199"/>
    </row>
    <row r="3110" spans="9:10" x14ac:dyDescent="0.25">
      <c r="I3110" s="199"/>
      <c r="J3110" s="199"/>
    </row>
    <row r="3111" spans="9:10" x14ac:dyDescent="0.25">
      <c r="I3111" s="199"/>
      <c r="J3111" s="199"/>
    </row>
    <row r="3112" spans="9:10" x14ac:dyDescent="0.25">
      <c r="I3112" s="199"/>
      <c r="J3112" s="199"/>
    </row>
    <row r="3113" spans="9:10" x14ac:dyDescent="0.25">
      <c r="I3113" s="199"/>
      <c r="J3113" s="199"/>
    </row>
    <row r="3114" spans="9:10" x14ac:dyDescent="0.25">
      <c r="I3114" s="199"/>
      <c r="J3114" s="199"/>
    </row>
    <row r="3115" spans="9:10" x14ac:dyDescent="0.25">
      <c r="I3115" s="199"/>
      <c r="J3115" s="199"/>
    </row>
    <row r="3116" spans="9:10" x14ac:dyDescent="0.25">
      <c r="I3116" s="199"/>
      <c r="J3116" s="199"/>
    </row>
    <row r="3117" spans="9:10" x14ac:dyDescent="0.25">
      <c r="I3117" s="199"/>
      <c r="J3117" s="199"/>
    </row>
    <row r="3118" spans="9:10" x14ac:dyDescent="0.25">
      <c r="I3118" s="199"/>
      <c r="J3118" s="199"/>
    </row>
    <row r="3119" spans="9:10" x14ac:dyDescent="0.25">
      <c r="I3119" s="199"/>
      <c r="J3119" s="199"/>
    </row>
    <row r="3120" spans="9:10" x14ac:dyDescent="0.25">
      <c r="I3120" s="199"/>
      <c r="J3120" s="199"/>
    </row>
    <row r="3121" spans="9:10" x14ac:dyDescent="0.25">
      <c r="I3121" s="199"/>
      <c r="J3121" s="199"/>
    </row>
    <row r="3122" spans="9:10" x14ac:dyDescent="0.25">
      <c r="I3122" s="199"/>
      <c r="J3122" s="199"/>
    </row>
    <row r="3123" spans="9:10" x14ac:dyDescent="0.25">
      <c r="I3123" s="199"/>
      <c r="J3123" s="199"/>
    </row>
    <row r="3124" spans="9:10" x14ac:dyDescent="0.25">
      <c r="I3124" s="199"/>
      <c r="J3124" s="199"/>
    </row>
    <row r="3125" spans="9:10" x14ac:dyDescent="0.25">
      <c r="I3125" s="199"/>
      <c r="J3125" s="199"/>
    </row>
    <row r="3126" spans="9:10" x14ac:dyDescent="0.25">
      <c r="I3126" s="199"/>
      <c r="J3126" s="199"/>
    </row>
    <row r="3127" spans="9:10" x14ac:dyDescent="0.25">
      <c r="I3127" s="199"/>
      <c r="J3127" s="199"/>
    </row>
    <row r="3128" spans="9:10" x14ac:dyDescent="0.25">
      <c r="I3128" s="199"/>
      <c r="J3128" s="199"/>
    </row>
    <row r="3129" spans="9:10" x14ac:dyDescent="0.25">
      <c r="I3129" s="199"/>
      <c r="J3129" s="199"/>
    </row>
    <row r="3130" spans="9:10" x14ac:dyDescent="0.25">
      <c r="I3130" s="199"/>
      <c r="J3130" s="199"/>
    </row>
    <row r="3131" spans="9:10" x14ac:dyDescent="0.25">
      <c r="I3131" s="199"/>
      <c r="J3131" s="199"/>
    </row>
    <row r="3132" spans="9:10" x14ac:dyDescent="0.25">
      <c r="I3132" s="199"/>
      <c r="J3132" s="199"/>
    </row>
    <row r="3133" spans="9:10" x14ac:dyDescent="0.25">
      <c r="I3133" s="199"/>
      <c r="J3133" s="199"/>
    </row>
    <row r="3134" spans="9:10" x14ac:dyDescent="0.25">
      <c r="I3134" s="199"/>
      <c r="J3134" s="199"/>
    </row>
    <row r="3135" spans="9:10" x14ac:dyDescent="0.25">
      <c r="I3135" s="199"/>
      <c r="J3135" s="199"/>
    </row>
    <row r="3136" spans="9:10" x14ac:dyDescent="0.25">
      <c r="I3136" s="199"/>
      <c r="J3136" s="199"/>
    </row>
    <row r="3137" spans="9:10" x14ac:dyDescent="0.25">
      <c r="I3137" s="199"/>
      <c r="J3137" s="199"/>
    </row>
    <row r="3138" spans="9:10" x14ac:dyDescent="0.25">
      <c r="I3138" s="199"/>
      <c r="J3138" s="199"/>
    </row>
    <row r="3139" spans="9:10" x14ac:dyDescent="0.25">
      <c r="I3139" s="199"/>
      <c r="J3139" s="199"/>
    </row>
    <row r="3140" spans="9:10" x14ac:dyDescent="0.25">
      <c r="I3140" s="199"/>
      <c r="J3140" s="199"/>
    </row>
    <row r="3141" spans="9:10" x14ac:dyDescent="0.25">
      <c r="I3141" s="199"/>
      <c r="J3141" s="199"/>
    </row>
    <row r="3142" spans="9:10" x14ac:dyDescent="0.25">
      <c r="I3142" s="199"/>
      <c r="J3142" s="199"/>
    </row>
    <row r="3143" spans="9:10" x14ac:dyDescent="0.25">
      <c r="I3143" s="199"/>
      <c r="J3143" s="199"/>
    </row>
    <row r="3144" spans="9:10" x14ac:dyDescent="0.25">
      <c r="I3144" s="199"/>
      <c r="J3144" s="199"/>
    </row>
    <row r="3145" spans="9:10" x14ac:dyDescent="0.25">
      <c r="I3145" s="199"/>
      <c r="J3145" s="199"/>
    </row>
    <row r="3146" spans="9:10" x14ac:dyDescent="0.25">
      <c r="I3146" s="199"/>
      <c r="J3146" s="199"/>
    </row>
    <row r="3147" spans="9:10" x14ac:dyDescent="0.25">
      <c r="I3147" s="199"/>
      <c r="J3147" s="199"/>
    </row>
    <row r="3148" spans="9:10" x14ac:dyDescent="0.25">
      <c r="I3148" s="199"/>
      <c r="J3148" s="199"/>
    </row>
    <row r="3149" spans="9:10" x14ac:dyDescent="0.25">
      <c r="I3149" s="199"/>
      <c r="J3149" s="199"/>
    </row>
    <row r="3150" spans="9:10" x14ac:dyDescent="0.25">
      <c r="I3150" s="199"/>
      <c r="J3150" s="199"/>
    </row>
    <row r="3151" spans="9:10" x14ac:dyDescent="0.25">
      <c r="I3151" s="199"/>
      <c r="J3151" s="199"/>
    </row>
    <row r="3152" spans="9:10" x14ac:dyDescent="0.25">
      <c r="I3152" s="199"/>
      <c r="J3152" s="199"/>
    </row>
    <row r="3153" spans="9:10" x14ac:dyDescent="0.25">
      <c r="I3153" s="199"/>
      <c r="J3153" s="199"/>
    </row>
    <row r="3154" spans="9:10" x14ac:dyDescent="0.25">
      <c r="I3154" s="199"/>
      <c r="J3154" s="199"/>
    </row>
    <row r="3155" spans="9:10" x14ac:dyDescent="0.25">
      <c r="I3155" s="199"/>
      <c r="J3155" s="199"/>
    </row>
    <row r="3156" spans="9:10" x14ac:dyDescent="0.25">
      <c r="I3156" s="199"/>
      <c r="J3156" s="199"/>
    </row>
    <row r="3157" spans="9:10" x14ac:dyDescent="0.25">
      <c r="I3157" s="199"/>
      <c r="J3157" s="199"/>
    </row>
    <row r="3158" spans="9:10" x14ac:dyDescent="0.25">
      <c r="I3158" s="199"/>
      <c r="J3158" s="199"/>
    </row>
    <row r="3159" spans="9:10" x14ac:dyDescent="0.25">
      <c r="I3159" s="199"/>
      <c r="J3159" s="199"/>
    </row>
    <row r="3160" spans="9:10" x14ac:dyDescent="0.25">
      <c r="I3160" s="199"/>
      <c r="J3160" s="199"/>
    </row>
    <row r="3161" spans="9:10" x14ac:dyDescent="0.25">
      <c r="I3161" s="199"/>
      <c r="J3161" s="199"/>
    </row>
    <row r="3162" spans="9:10" x14ac:dyDescent="0.25">
      <c r="I3162" s="199"/>
      <c r="J3162" s="199"/>
    </row>
    <row r="3163" spans="9:10" x14ac:dyDescent="0.25">
      <c r="I3163" s="199"/>
      <c r="J3163" s="199"/>
    </row>
    <row r="3164" spans="9:10" x14ac:dyDescent="0.25">
      <c r="I3164" s="199"/>
      <c r="J3164" s="199"/>
    </row>
    <row r="3165" spans="9:10" x14ac:dyDescent="0.25">
      <c r="I3165" s="199"/>
      <c r="J3165" s="199"/>
    </row>
    <row r="3166" spans="9:10" x14ac:dyDescent="0.25">
      <c r="I3166" s="199"/>
      <c r="J3166" s="199"/>
    </row>
    <row r="3167" spans="9:10" x14ac:dyDescent="0.25">
      <c r="I3167" s="199"/>
      <c r="J3167" s="199"/>
    </row>
    <row r="3168" spans="9:10" x14ac:dyDescent="0.25">
      <c r="I3168" s="199"/>
      <c r="J3168" s="199"/>
    </row>
    <row r="3169" spans="9:10" x14ac:dyDescent="0.25">
      <c r="I3169" s="199"/>
      <c r="J3169" s="199"/>
    </row>
    <row r="3170" spans="9:10" x14ac:dyDescent="0.25">
      <c r="I3170" s="199"/>
      <c r="J3170" s="199"/>
    </row>
    <row r="3171" spans="9:10" x14ac:dyDescent="0.25">
      <c r="I3171" s="199"/>
      <c r="J3171" s="199"/>
    </row>
    <row r="3172" spans="9:10" x14ac:dyDescent="0.25">
      <c r="I3172" s="199"/>
      <c r="J3172" s="199"/>
    </row>
    <row r="3173" spans="9:10" x14ac:dyDescent="0.25">
      <c r="I3173" s="199"/>
      <c r="J3173" s="199"/>
    </row>
    <row r="3174" spans="9:10" x14ac:dyDescent="0.25">
      <c r="I3174" s="199"/>
      <c r="J3174" s="199"/>
    </row>
    <row r="3175" spans="9:10" x14ac:dyDescent="0.25">
      <c r="I3175" s="199"/>
      <c r="J3175" s="199"/>
    </row>
    <row r="3176" spans="9:10" x14ac:dyDescent="0.25">
      <c r="I3176" s="199"/>
      <c r="J3176" s="199"/>
    </row>
    <row r="3177" spans="9:10" x14ac:dyDescent="0.25">
      <c r="I3177" s="199"/>
      <c r="J3177" s="199"/>
    </row>
    <row r="3178" spans="9:10" x14ac:dyDescent="0.25">
      <c r="I3178" s="199"/>
      <c r="J3178" s="199"/>
    </row>
    <row r="3179" spans="9:10" x14ac:dyDescent="0.25">
      <c r="I3179" s="199"/>
      <c r="J3179" s="199"/>
    </row>
    <row r="3180" spans="9:10" x14ac:dyDescent="0.25">
      <c r="I3180" s="199"/>
      <c r="J3180" s="199"/>
    </row>
    <row r="3181" spans="9:10" x14ac:dyDescent="0.25">
      <c r="I3181" s="199"/>
      <c r="J3181" s="199"/>
    </row>
    <row r="3182" spans="9:10" x14ac:dyDescent="0.25">
      <c r="I3182" s="199"/>
      <c r="J3182" s="199"/>
    </row>
    <row r="3183" spans="9:10" x14ac:dyDescent="0.25">
      <c r="I3183" s="199"/>
      <c r="J3183" s="199"/>
    </row>
    <row r="3184" spans="9:10" x14ac:dyDescent="0.25">
      <c r="I3184" s="199"/>
      <c r="J3184" s="199"/>
    </row>
    <row r="3185" spans="9:10" x14ac:dyDescent="0.25">
      <c r="I3185" s="199"/>
      <c r="J3185" s="199"/>
    </row>
    <row r="3186" spans="9:10" x14ac:dyDescent="0.25">
      <c r="I3186" s="199"/>
      <c r="J3186" s="199"/>
    </row>
    <row r="3187" spans="9:10" x14ac:dyDescent="0.25">
      <c r="I3187" s="199"/>
      <c r="J3187" s="199"/>
    </row>
    <row r="3188" spans="9:10" x14ac:dyDescent="0.25">
      <c r="I3188" s="199"/>
      <c r="J3188" s="199"/>
    </row>
    <row r="3189" spans="9:10" x14ac:dyDescent="0.25">
      <c r="I3189" s="199"/>
      <c r="J3189" s="199"/>
    </row>
    <row r="3190" spans="9:10" x14ac:dyDescent="0.25">
      <c r="I3190" s="199"/>
      <c r="J3190" s="199"/>
    </row>
    <row r="3191" spans="9:10" x14ac:dyDescent="0.25">
      <c r="I3191" s="199"/>
      <c r="J3191" s="199"/>
    </row>
    <row r="3192" spans="9:10" x14ac:dyDescent="0.25">
      <c r="I3192" s="199"/>
      <c r="J3192" s="199"/>
    </row>
    <row r="3193" spans="9:10" x14ac:dyDescent="0.25">
      <c r="I3193" s="199"/>
      <c r="J3193" s="199"/>
    </row>
    <row r="3194" spans="9:10" x14ac:dyDescent="0.25">
      <c r="I3194" s="199"/>
      <c r="J3194" s="199"/>
    </row>
    <row r="3195" spans="9:10" x14ac:dyDescent="0.25">
      <c r="I3195" s="199"/>
      <c r="J3195" s="199"/>
    </row>
    <row r="3196" spans="9:10" x14ac:dyDescent="0.25">
      <c r="I3196" s="199"/>
      <c r="J3196" s="199"/>
    </row>
    <row r="3197" spans="9:10" x14ac:dyDescent="0.25">
      <c r="I3197" s="199"/>
      <c r="J3197" s="199"/>
    </row>
    <row r="3198" spans="9:10" x14ac:dyDescent="0.25">
      <c r="I3198" s="199"/>
      <c r="J3198" s="199"/>
    </row>
    <row r="3199" spans="9:10" x14ac:dyDescent="0.25">
      <c r="I3199" s="199"/>
      <c r="J3199" s="199"/>
    </row>
    <row r="3200" spans="9:10" x14ac:dyDescent="0.25">
      <c r="I3200" s="199"/>
      <c r="J3200" s="199"/>
    </row>
    <row r="3201" spans="9:10" x14ac:dyDescent="0.25">
      <c r="I3201" s="199"/>
      <c r="J3201" s="199"/>
    </row>
    <row r="3202" spans="9:10" x14ac:dyDescent="0.25">
      <c r="I3202" s="199"/>
      <c r="J3202" s="199"/>
    </row>
    <row r="3203" spans="9:10" x14ac:dyDescent="0.25">
      <c r="I3203" s="199"/>
      <c r="J3203" s="199"/>
    </row>
    <row r="3204" spans="9:10" x14ac:dyDescent="0.25">
      <c r="I3204" s="199"/>
      <c r="J3204" s="199"/>
    </row>
    <row r="3205" spans="9:10" x14ac:dyDescent="0.25">
      <c r="I3205" s="199"/>
      <c r="J3205" s="199"/>
    </row>
    <row r="3206" spans="9:10" x14ac:dyDescent="0.25">
      <c r="I3206" s="199"/>
      <c r="J3206" s="199"/>
    </row>
    <row r="3207" spans="9:10" x14ac:dyDescent="0.25">
      <c r="I3207" s="199"/>
      <c r="J3207" s="199"/>
    </row>
    <row r="3208" spans="9:10" x14ac:dyDescent="0.25">
      <c r="I3208" s="199"/>
      <c r="J3208" s="199"/>
    </row>
    <row r="3209" spans="9:10" x14ac:dyDescent="0.25">
      <c r="I3209" s="199"/>
      <c r="J3209" s="199"/>
    </row>
    <row r="3210" spans="9:10" x14ac:dyDescent="0.25">
      <c r="I3210" s="199"/>
      <c r="J3210" s="199"/>
    </row>
    <row r="3211" spans="9:10" x14ac:dyDescent="0.25">
      <c r="I3211" s="199"/>
      <c r="J3211" s="199"/>
    </row>
    <row r="3212" spans="9:10" x14ac:dyDescent="0.25">
      <c r="I3212" s="199"/>
      <c r="J3212" s="199"/>
    </row>
    <row r="3213" spans="9:10" x14ac:dyDescent="0.25">
      <c r="I3213" s="199"/>
      <c r="J3213" s="199"/>
    </row>
    <row r="3214" spans="9:10" x14ac:dyDescent="0.25">
      <c r="I3214" s="199"/>
      <c r="J3214" s="199"/>
    </row>
    <row r="3215" spans="9:10" x14ac:dyDescent="0.25">
      <c r="I3215" s="199"/>
      <c r="J3215" s="199"/>
    </row>
    <row r="3216" spans="9:10" x14ac:dyDescent="0.25">
      <c r="I3216" s="199"/>
      <c r="J3216" s="199"/>
    </row>
    <row r="3217" spans="9:10" x14ac:dyDescent="0.25">
      <c r="I3217" s="199"/>
      <c r="J3217" s="199"/>
    </row>
    <row r="3218" spans="9:10" x14ac:dyDescent="0.25">
      <c r="I3218" s="199"/>
      <c r="J3218" s="199"/>
    </row>
    <row r="3219" spans="9:10" x14ac:dyDescent="0.25">
      <c r="I3219" s="199"/>
      <c r="J3219" s="199"/>
    </row>
    <row r="3220" spans="9:10" x14ac:dyDescent="0.25">
      <c r="I3220" s="199"/>
      <c r="J3220" s="199"/>
    </row>
    <row r="3221" spans="9:10" x14ac:dyDescent="0.25">
      <c r="I3221" s="199"/>
      <c r="J3221" s="199"/>
    </row>
    <row r="3222" spans="9:10" x14ac:dyDescent="0.25">
      <c r="I3222" s="199"/>
      <c r="J3222" s="199"/>
    </row>
    <row r="3223" spans="9:10" x14ac:dyDescent="0.25">
      <c r="I3223" s="199"/>
      <c r="J3223" s="199"/>
    </row>
    <row r="3224" spans="9:10" x14ac:dyDescent="0.25">
      <c r="I3224" s="199"/>
      <c r="J3224" s="199"/>
    </row>
    <row r="3225" spans="9:10" x14ac:dyDescent="0.25">
      <c r="I3225" s="199"/>
      <c r="J3225" s="199"/>
    </row>
    <row r="3226" spans="9:10" x14ac:dyDescent="0.25">
      <c r="I3226" s="199"/>
      <c r="J3226" s="199"/>
    </row>
    <row r="3227" spans="9:10" x14ac:dyDescent="0.25">
      <c r="I3227" s="199"/>
      <c r="J3227" s="199"/>
    </row>
    <row r="3228" spans="9:10" x14ac:dyDescent="0.25">
      <c r="I3228" s="199"/>
      <c r="J3228" s="199"/>
    </row>
    <row r="3229" spans="9:10" x14ac:dyDescent="0.25">
      <c r="I3229" s="199"/>
      <c r="J3229" s="199"/>
    </row>
    <row r="3230" spans="9:10" x14ac:dyDescent="0.25">
      <c r="I3230" s="199"/>
      <c r="J3230" s="199"/>
    </row>
    <row r="3231" spans="9:10" x14ac:dyDescent="0.25">
      <c r="I3231" s="199"/>
      <c r="J3231" s="199"/>
    </row>
    <row r="3232" spans="9:10" x14ac:dyDescent="0.25">
      <c r="I3232" s="199"/>
      <c r="J3232" s="199"/>
    </row>
    <row r="3233" spans="9:10" x14ac:dyDescent="0.25">
      <c r="I3233" s="199"/>
      <c r="J3233" s="199"/>
    </row>
    <row r="3234" spans="9:10" x14ac:dyDescent="0.25">
      <c r="I3234" s="199"/>
      <c r="J3234" s="199"/>
    </row>
    <row r="3235" spans="9:10" x14ac:dyDescent="0.25">
      <c r="I3235" s="199"/>
      <c r="J3235" s="199"/>
    </row>
    <row r="3236" spans="9:10" x14ac:dyDescent="0.25">
      <c r="I3236" s="199"/>
      <c r="J3236" s="199"/>
    </row>
    <row r="3237" spans="9:10" x14ac:dyDescent="0.25">
      <c r="I3237" s="199"/>
      <c r="J3237" s="199"/>
    </row>
    <row r="3238" spans="9:10" x14ac:dyDescent="0.25">
      <c r="I3238" s="199"/>
      <c r="J3238" s="199"/>
    </row>
    <row r="3239" spans="9:10" x14ac:dyDescent="0.25">
      <c r="I3239" s="199"/>
      <c r="J3239" s="199"/>
    </row>
    <row r="3240" spans="9:10" x14ac:dyDescent="0.25">
      <c r="I3240" s="199"/>
      <c r="J3240" s="199"/>
    </row>
    <row r="3241" spans="9:10" x14ac:dyDescent="0.25">
      <c r="I3241" s="199"/>
      <c r="J3241" s="199"/>
    </row>
    <row r="3242" spans="9:10" x14ac:dyDescent="0.25">
      <c r="I3242" s="199"/>
      <c r="J3242" s="199"/>
    </row>
    <row r="3243" spans="9:10" x14ac:dyDescent="0.25">
      <c r="I3243" s="199"/>
      <c r="J3243" s="199"/>
    </row>
    <row r="3244" spans="9:10" x14ac:dyDescent="0.25">
      <c r="I3244" s="199"/>
      <c r="J3244" s="199"/>
    </row>
    <row r="3245" spans="9:10" x14ac:dyDescent="0.25">
      <c r="I3245" s="199"/>
      <c r="J3245" s="199"/>
    </row>
    <row r="3246" spans="9:10" x14ac:dyDescent="0.25">
      <c r="I3246" s="199"/>
      <c r="J3246" s="199"/>
    </row>
    <row r="3247" spans="9:10" x14ac:dyDescent="0.25">
      <c r="I3247" s="199"/>
      <c r="J3247" s="199"/>
    </row>
    <row r="3248" spans="9:10" x14ac:dyDescent="0.25">
      <c r="I3248" s="199"/>
      <c r="J3248" s="199"/>
    </row>
    <row r="3249" spans="9:10" x14ac:dyDescent="0.25">
      <c r="I3249" s="199"/>
      <c r="J3249" s="199"/>
    </row>
    <row r="3250" spans="9:10" x14ac:dyDescent="0.25">
      <c r="I3250" s="199"/>
      <c r="J3250" s="199"/>
    </row>
    <row r="3251" spans="9:10" x14ac:dyDescent="0.25">
      <c r="I3251" s="199"/>
      <c r="J3251" s="199"/>
    </row>
    <row r="3252" spans="9:10" x14ac:dyDescent="0.25">
      <c r="I3252" s="199"/>
      <c r="J3252" s="199"/>
    </row>
    <row r="3253" spans="9:10" x14ac:dyDescent="0.25">
      <c r="I3253" s="199"/>
      <c r="J3253" s="199"/>
    </row>
    <row r="3254" spans="9:10" x14ac:dyDescent="0.25">
      <c r="I3254" s="199"/>
      <c r="J3254" s="199"/>
    </row>
    <row r="3255" spans="9:10" x14ac:dyDescent="0.25">
      <c r="I3255" s="199"/>
      <c r="J3255" s="199"/>
    </row>
    <row r="3256" spans="9:10" x14ac:dyDescent="0.25">
      <c r="I3256" s="199"/>
      <c r="J3256" s="199"/>
    </row>
    <row r="3257" spans="9:10" x14ac:dyDescent="0.25">
      <c r="I3257" s="199"/>
      <c r="J3257" s="199"/>
    </row>
    <row r="3258" spans="9:10" x14ac:dyDescent="0.25">
      <c r="I3258" s="199"/>
      <c r="J3258" s="199"/>
    </row>
    <row r="3259" spans="9:10" x14ac:dyDescent="0.25">
      <c r="I3259" s="199"/>
      <c r="J3259" s="199"/>
    </row>
    <row r="3260" spans="9:10" x14ac:dyDescent="0.25">
      <c r="I3260" s="199"/>
      <c r="J3260" s="199"/>
    </row>
    <row r="3261" spans="9:10" x14ac:dyDescent="0.25">
      <c r="I3261" s="199"/>
      <c r="J3261" s="199"/>
    </row>
    <row r="3262" spans="9:10" x14ac:dyDescent="0.25">
      <c r="I3262" s="199"/>
      <c r="J3262" s="199"/>
    </row>
    <row r="3263" spans="9:10" x14ac:dyDescent="0.25">
      <c r="I3263" s="199"/>
      <c r="J3263" s="199"/>
    </row>
    <row r="3264" spans="9:10" x14ac:dyDescent="0.25">
      <c r="I3264" s="199"/>
      <c r="J3264" s="199"/>
    </row>
    <row r="3265" spans="9:10" x14ac:dyDescent="0.25">
      <c r="I3265" s="199"/>
      <c r="J3265" s="199"/>
    </row>
    <row r="3266" spans="9:10" x14ac:dyDescent="0.25">
      <c r="I3266" s="199"/>
      <c r="J3266" s="199"/>
    </row>
    <row r="3267" spans="9:10" x14ac:dyDescent="0.25">
      <c r="I3267" s="199"/>
      <c r="J3267" s="199"/>
    </row>
    <row r="3268" spans="9:10" x14ac:dyDescent="0.25">
      <c r="I3268" s="199"/>
      <c r="J3268" s="199"/>
    </row>
    <row r="3269" spans="9:10" x14ac:dyDescent="0.25">
      <c r="I3269" s="199"/>
      <c r="J3269" s="199"/>
    </row>
    <row r="3270" spans="9:10" x14ac:dyDescent="0.25">
      <c r="I3270" s="199"/>
      <c r="J3270" s="199"/>
    </row>
    <row r="3271" spans="9:10" x14ac:dyDescent="0.25">
      <c r="I3271" s="199"/>
      <c r="J3271" s="199"/>
    </row>
    <row r="3272" spans="9:10" x14ac:dyDescent="0.25">
      <c r="I3272" s="199"/>
      <c r="J3272" s="199"/>
    </row>
    <row r="3273" spans="9:10" x14ac:dyDescent="0.25">
      <c r="I3273" s="199"/>
      <c r="J3273" s="199"/>
    </row>
    <row r="3274" spans="9:10" x14ac:dyDescent="0.25">
      <c r="I3274" s="199"/>
      <c r="J3274" s="199"/>
    </row>
    <row r="3275" spans="9:10" x14ac:dyDescent="0.25">
      <c r="I3275" s="199"/>
      <c r="J3275" s="199"/>
    </row>
    <row r="3276" spans="9:10" x14ac:dyDescent="0.25">
      <c r="I3276" s="199"/>
      <c r="J3276" s="199"/>
    </row>
    <row r="3277" spans="9:10" x14ac:dyDescent="0.25">
      <c r="I3277" s="199"/>
      <c r="J3277" s="199"/>
    </row>
    <row r="3278" spans="9:10" x14ac:dyDescent="0.25">
      <c r="I3278" s="199"/>
      <c r="J3278" s="199"/>
    </row>
    <row r="3279" spans="9:10" x14ac:dyDescent="0.25">
      <c r="I3279" s="199"/>
      <c r="J3279" s="199"/>
    </row>
    <row r="3280" spans="9:10" x14ac:dyDescent="0.25">
      <c r="I3280" s="199"/>
      <c r="J3280" s="199"/>
    </row>
    <row r="3281" spans="9:10" x14ac:dyDescent="0.25">
      <c r="I3281" s="199"/>
      <c r="J3281" s="199"/>
    </row>
    <row r="3282" spans="9:10" x14ac:dyDescent="0.25">
      <c r="I3282" s="199"/>
      <c r="J3282" s="199"/>
    </row>
    <row r="3283" spans="9:10" x14ac:dyDescent="0.25">
      <c r="I3283" s="199"/>
      <c r="J3283" s="199"/>
    </row>
    <row r="3284" spans="9:10" x14ac:dyDescent="0.25">
      <c r="I3284" s="199"/>
      <c r="J3284" s="199"/>
    </row>
    <row r="3285" spans="9:10" x14ac:dyDescent="0.25">
      <c r="I3285" s="199"/>
      <c r="J3285" s="199"/>
    </row>
    <row r="3286" spans="9:10" x14ac:dyDescent="0.25">
      <c r="I3286" s="199"/>
      <c r="J3286" s="199"/>
    </row>
    <row r="3287" spans="9:10" x14ac:dyDescent="0.25">
      <c r="I3287" s="199"/>
      <c r="J3287" s="199"/>
    </row>
    <row r="3288" spans="9:10" x14ac:dyDescent="0.25">
      <c r="I3288" s="199"/>
      <c r="J3288" s="199"/>
    </row>
    <row r="3289" spans="9:10" x14ac:dyDescent="0.25">
      <c r="I3289" s="199"/>
      <c r="J3289" s="199"/>
    </row>
    <row r="3290" spans="9:10" x14ac:dyDescent="0.25">
      <c r="I3290" s="199"/>
      <c r="J3290" s="199"/>
    </row>
    <row r="3291" spans="9:10" x14ac:dyDescent="0.25">
      <c r="I3291" s="199"/>
      <c r="J3291" s="199"/>
    </row>
    <row r="3292" spans="9:10" x14ac:dyDescent="0.25">
      <c r="I3292" s="199"/>
      <c r="J3292" s="199"/>
    </row>
    <row r="3293" spans="9:10" x14ac:dyDescent="0.25">
      <c r="I3293" s="199"/>
      <c r="J3293" s="199"/>
    </row>
    <row r="3294" spans="9:10" x14ac:dyDescent="0.25">
      <c r="I3294" s="199"/>
      <c r="J3294" s="199"/>
    </row>
    <row r="3295" spans="9:10" x14ac:dyDescent="0.25">
      <c r="I3295" s="199"/>
      <c r="J3295" s="199"/>
    </row>
    <row r="3296" spans="9:10" x14ac:dyDescent="0.25">
      <c r="I3296" s="199"/>
      <c r="J3296" s="199"/>
    </row>
    <row r="3297" spans="9:10" x14ac:dyDescent="0.25">
      <c r="I3297" s="199"/>
      <c r="J3297" s="199"/>
    </row>
    <row r="3298" spans="9:10" x14ac:dyDescent="0.25">
      <c r="I3298" s="199"/>
      <c r="J3298" s="199"/>
    </row>
    <row r="3299" spans="9:10" x14ac:dyDescent="0.25">
      <c r="I3299" s="199"/>
      <c r="J3299" s="199"/>
    </row>
    <row r="3300" spans="9:10" x14ac:dyDescent="0.25">
      <c r="I3300" s="199"/>
      <c r="J3300" s="199"/>
    </row>
    <row r="3301" spans="9:10" x14ac:dyDescent="0.25">
      <c r="I3301" s="199"/>
      <c r="J3301" s="199"/>
    </row>
    <row r="3302" spans="9:10" x14ac:dyDescent="0.25">
      <c r="I3302" s="199"/>
      <c r="J3302" s="199"/>
    </row>
    <row r="3303" spans="9:10" x14ac:dyDescent="0.25">
      <c r="I3303" s="199"/>
      <c r="J3303" s="199"/>
    </row>
    <row r="3304" spans="9:10" x14ac:dyDescent="0.25">
      <c r="I3304" s="199"/>
      <c r="J3304" s="199"/>
    </row>
    <row r="3305" spans="9:10" x14ac:dyDescent="0.25">
      <c r="I3305" s="199"/>
      <c r="J3305" s="199"/>
    </row>
    <row r="3306" spans="9:10" x14ac:dyDescent="0.25">
      <c r="I3306" s="199"/>
      <c r="J3306" s="199"/>
    </row>
    <row r="3307" spans="9:10" x14ac:dyDescent="0.25">
      <c r="I3307" s="199"/>
      <c r="J3307" s="199"/>
    </row>
    <row r="3308" spans="9:10" x14ac:dyDescent="0.25">
      <c r="I3308" s="199"/>
      <c r="J3308" s="199"/>
    </row>
    <row r="3309" spans="9:10" x14ac:dyDescent="0.25">
      <c r="I3309" s="199"/>
      <c r="J3309" s="199"/>
    </row>
    <row r="3310" spans="9:10" x14ac:dyDescent="0.25">
      <c r="I3310" s="199"/>
      <c r="J3310" s="199"/>
    </row>
    <row r="3311" spans="9:10" x14ac:dyDescent="0.25">
      <c r="I3311" s="199"/>
      <c r="J3311" s="199"/>
    </row>
    <row r="3312" spans="9:10" x14ac:dyDescent="0.25">
      <c r="I3312" s="199"/>
      <c r="J3312" s="199"/>
    </row>
    <row r="3313" spans="9:10" x14ac:dyDescent="0.25">
      <c r="I3313" s="199"/>
      <c r="J3313" s="199"/>
    </row>
    <row r="3314" spans="9:10" x14ac:dyDescent="0.25">
      <c r="I3314" s="199"/>
      <c r="J3314" s="199"/>
    </row>
    <row r="3315" spans="9:10" x14ac:dyDescent="0.25">
      <c r="I3315" s="199"/>
      <c r="J3315" s="199"/>
    </row>
    <row r="3316" spans="9:10" x14ac:dyDescent="0.25">
      <c r="I3316" s="199"/>
      <c r="J3316" s="199"/>
    </row>
    <row r="3317" spans="9:10" x14ac:dyDescent="0.25">
      <c r="I3317" s="199"/>
      <c r="J3317" s="199"/>
    </row>
    <row r="3318" spans="9:10" x14ac:dyDescent="0.25">
      <c r="I3318" s="199"/>
      <c r="J3318" s="199"/>
    </row>
    <row r="3319" spans="9:10" x14ac:dyDescent="0.25">
      <c r="I3319" s="199"/>
      <c r="J3319" s="199"/>
    </row>
    <row r="3320" spans="9:10" x14ac:dyDescent="0.25">
      <c r="I3320" s="199"/>
      <c r="J3320" s="199"/>
    </row>
    <row r="3321" spans="9:10" x14ac:dyDescent="0.25">
      <c r="I3321" s="199"/>
      <c r="J3321" s="199"/>
    </row>
    <row r="3322" spans="9:10" x14ac:dyDescent="0.25">
      <c r="I3322" s="199"/>
      <c r="J3322" s="199"/>
    </row>
    <row r="3323" spans="9:10" x14ac:dyDescent="0.25">
      <c r="I3323" s="199"/>
      <c r="J3323" s="199"/>
    </row>
    <row r="3324" spans="9:10" x14ac:dyDescent="0.25">
      <c r="I3324" s="199"/>
      <c r="J3324" s="199"/>
    </row>
    <row r="3325" spans="9:10" x14ac:dyDescent="0.25">
      <c r="I3325" s="199"/>
      <c r="J3325" s="199"/>
    </row>
    <row r="3326" spans="9:10" x14ac:dyDescent="0.25">
      <c r="I3326" s="199"/>
      <c r="J3326" s="199"/>
    </row>
    <row r="3327" spans="9:10" x14ac:dyDescent="0.25">
      <c r="I3327" s="199"/>
      <c r="J3327" s="199"/>
    </row>
    <row r="3328" spans="9:10" x14ac:dyDescent="0.25">
      <c r="I3328" s="199"/>
      <c r="J3328" s="199"/>
    </row>
    <row r="3329" spans="9:10" x14ac:dyDescent="0.25">
      <c r="I3329" s="199"/>
      <c r="J3329" s="199"/>
    </row>
    <row r="3330" spans="9:10" x14ac:dyDescent="0.25">
      <c r="I3330" s="199"/>
      <c r="J3330" s="199"/>
    </row>
    <row r="3331" spans="9:10" x14ac:dyDescent="0.25">
      <c r="I3331" s="199"/>
      <c r="J3331" s="199"/>
    </row>
    <row r="3332" spans="9:10" x14ac:dyDescent="0.25">
      <c r="I3332" s="199"/>
      <c r="J3332" s="199"/>
    </row>
    <row r="3333" spans="9:10" x14ac:dyDescent="0.25">
      <c r="I3333" s="199"/>
      <c r="J3333" s="199"/>
    </row>
    <row r="3334" spans="9:10" x14ac:dyDescent="0.25">
      <c r="I3334" s="199"/>
      <c r="J3334" s="199"/>
    </row>
    <row r="3335" spans="9:10" x14ac:dyDescent="0.25">
      <c r="I3335" s="199"/>
      <c r="J3335" s="199"/>
    </row>
    <row r="3336" spans="9:10" x14ac:dyDescent="0.25">
      <c r="I3336" s="199"/>
      <c r="J3336" s="199"/>
    </row>
    <row r="3337" spans="9:10" x14ac:dyDescent="0.25">
      <c r="I3337" s="199"/>
      <c r="J3337" s="199"/>
    </row>
    <row r="3338" spans="9:10" x14ac:dyDescent="0.25">
      <c r="I3338" s="199"/>
      <c r="J3338" s="199"/>
    </row>
    <row r="3339" spans="9:10" x14ac:dyDescent="0.25">
      <c r="I3339" s="199"/>
      <c r="J3339" s="199"/>
    </row>
    <row r="3340" spans="9:10" x14ac:dyDescent="0.25">
      <c r="I3340" s="199"/>
      <c r="J3340" s="199"/>
    </row>
    <row r="3341" spans="9:10" x14ac:dyDescent="0.25">
      <c r="I3341" s="199"/>
      <c r="J3341" s="199"/>
    </row>
    <row r="3342" spans="9:10" x14ac:dyDescent="0.25">
      <c r="I3342" s="199"/>
      <c r="J3342" s="199"/>
    </row>
    <row r="3343" spans="9:10" x14ac:dyDescent="0.25">
      <c r="I3343" s="199"/>
      <c r="J3343" s="199"/>
    </row>
    <row r="3344" spans="9:10" x14ac:dyDescent="0.25">
      <c r="I3344" s="199"/>
      <c r="J3344" s="199"/>
    </row>
    <row r="3345" spans="9:10" x14ac:dyDescent="0.25">
      <c r="I3345" s="199"/>
      <c r="J3345" s="199"/>
    </row>
    <row r="3346" spans="9:10" x14ac:dyDescent="0.25">
      <c r="I3346" s="199"/>
      <c r="J3346" s="199"/>
    </row>
    <row r="3347" spans="9:10" x14ac:dyDescent="0.25">
      <c r="I3347" s="199"/>
      <c r="J3347" s="199"/>
    </row>
    <row r="3348" spans="9:10" x14ac:dyDescent="0.25">
      <c r="I3348" s="199"/>
      <c r="J3348" s="199"/>
    </row>
    <row r="3349" spans="9:10" x14ac:dyDescent="0.25">
      <c r="I3349" s="199"/>
      <c r="J3349" s="199"/>
    </row>
    <row r="3350" spans="9:10" x14ac:dyDescent="0.25">
      <c r="I3350" s="199"/>
      <c r="J3350" s="199"/>
    </row>
    <row r="3351" spans="9:10" x14ac:dyDescent="0.25">
      <c r="I3351" s="199"/>
      <c r="J3351" s="199"/>
    </row>
    <row r="3352" spans="9:10" x14ac:dyDescent="0.25">
      <c r="I3352" s="199"/>
      <c r="J3352" s="199"/>
    </row>
    <row r="3353" spans="9:10" x14ac:dyDescent="0.25">
      <c r="I3353" s="199"/>
      <c r="J3353" s="199"/>
    </row>
    <row r="3354" spans="9:10" x14ac:dyDescent="0.25">
      <c r="I3354" s="199"/>
      <c r="J3354" s="199"/>
    </row>
    <row r="3355" spans="9:10" x14ac:dyDescent="0.25">
      <c r="I3355" s="199"/>
      <c r="J3355" s="199"/>
    </row>
    <row r="3356" spans="9:10" x14ac:dyDescent="0.25">
      <c r="I3356" s="199"/>
      <c r="J3356" s="199"/>
    </row>
    <row r="3357" spans="9:10" x14ac:dyDescent="0.25">
      <c r="I3357" s="199"/>
      <c r="J3357" s="199"/>
    </row>
    <row r="3358" spans="9:10" x14ac:dyDescent="0.25">
      <c r="I3358" s="199"/>
      <c r="J3358" s="199"/>
    </row>
    <row r="3359" spans="9:10" x14ac:dyDescent="0.25">
      <c r="I3359" s="199"/>
      <c r="J3359" s="199"/>
    </row>
    <row r="3360" spans="9:10" x14ac:dyDescent="0.25">
      <c r="I3360" s="199"/>
      <c r="J3360" s="199"/>
    </row>
    <row r="3361" spans="9:10" x14ac:dyDescent="0.25">
      <c r="I3361" s="199"/>
      <c r="J3361" s="199"/>
    </row>
    <row r="3362" spans="9:10" x14ac:dyDescent="0.25">
      <c r="I3362" s="199"/>
      <c r="J3362" s="199"/>
    </row>
    <row r="3363" spans="9:10" x14ac:dyDescent="0.25">
      <c r="I3363" s="199"/>
      <c r="J3363" s="199"/>
    </row>
    <row r="3364" spans="9:10" x14ac:dyDescent="0.25">
      <c r="I3364" s="199"/>
      <c r="J3364" s="199"/>
    </row>
    <row r="3365" spans="9:10" x14ac:dyDescent="0.25">
      <c r="I3365" s="199"/>
      <c r="J3365" s="199"/>
    </row>
    <row r="3366" spans="9:10" x14ac:dyDescent="0.25">
      <c r="I3366" s="199"/>
      <c r="J3366" s="199"/>
    </row>
    <row r="3367" spans="9:10" x14ac:dyDescent="0.25">
      <c r="I3367" s="199"/>
      <c r="J3367" s="199"/>
    </row>
    <row r="3368" spans="9:10" x14ac:dyDescent="0.25">
      <c r="I3368" s="199"/>
      <c r="J3368" s="199"/>
    </row>
    <row r="3369" spans="9:10" x14ac:dyDescent="0.25">
      <c r="I3369" s="199"/>
      <c r="J3369" s="199"/>
    </row>
    <row r="3370" spans="9:10" x14ac:dyDescent="0.25">
      <c r="I3370" s="199"/>
      <c r="J3370" s="199"/>
    </row>
    <row r="3371" spans="9:10" x14ac:dyDescent="0.25">
      <c r="I3371" s="199"/>
      <c r="J3371" s="199"/>
    </row>
    <row r="3372" spans="9:10" x14ac:dyDescent="0.25">
      <c r="I3372" s="199"/>
      <c r="J3372" s="199"/>
    </row>
    <row r="3373" spans="9:10" x14ac:dyDescent="0.25">
      <c r="I3373" s="199"/>
      <c r="J3373" s="199"/>
    </row>
    <row r="3374" spans="9:10" x14ac:dyDescent="0.25">
      <c r="I3374" s="199"/>
      <c r="J3374" s="199"/>
    </row>
    <row r="3375" spans="9:10" x14ac:dyDescent="0.25">
      <c r="I3375" s="199"/>
      <c r="J3375" s="199"/>
    </row>
    <row r="3376" spans="9:10" x14ac:dyDescent="0.25">
      <c r="I3376" s="199"/>
      <c r="J3376" s="199"/>
    </row>
    <row r="3377" spans="9:10" x14ac:dyDescent="0.25">
      <c r="I3377" s="199"/>
      <c r="J3377" s="199"/>
    </row>
    <row r="3378" spans="9:10" x14ac:dyDescent="0.25">
      <c r="I3378" s="199"/>
      <c r="J3378" s="199"/>
    </row>
    <row r="3379" spans="9:10" x14ac:dyDescent="0.25">
      <c r="I3379" s="199"/>
      <c r="J3379" s="199"/>
    </row>
    <row r="3380" spans="9:10" x14ac:dyDescent="0.25">
      <c r="I3380" s="199"/>
      <c r="J3380" s="199"/>
    </row>
    <row r="3381" spans="9:10" x14ac:dyDescent="0.25">
      <c r="I3381" s="199"/>
      <c r="J3381" s="199"/>
    </row>
    <row r="3382" spans="9:10" x14ac:dyDescent="0.25">
      <c r="I3382" s="199"/>
      <c r="J3382" s="199"/>
    </row>
    <row r="3383" spans="9:10" x14ac:dyDescent="0.25">
      <c r="I3383" s="199"/>
      <c r="J3383" s="199"/>
    </row>
    <row r="3384" spans="9:10" x14ac:dyDescent="0.25">
      <c r="I3384" s="199"/>
      <c r="J3384" s="199"/>
    </row>
    <row r="3385" spans="9:10" x14ac:dyDescent="0.25">
      <c r="I3385" s="199"/>
      <c r="J3385" s="199"/>
    </row>
    <row r="3386" spans="9:10" x14ac:dyDescent="0.25">
      <c r="I3386" s="199"/>
      <c r="J3386" s="199"/>
    </row>
    <row r="3387" spans="9:10" x14ac:dyDescent="0.25">
      <c r="I3387" s="199"/>
      <c r="J3387" s="199"/>
    </row>
    <row r="3388" spans="9:10" x14ac:dyDescent="0.25">
      <c r="I3388" s="199"/>
      <c r="J3388" s="199"/>
    </row>
    <row r="3389" spans="9:10" x14ac:dyDescent="0.25">
      <c r="I3389" s="199"/>
      <c r="J3389" s="199"/>
    </row>
    <row r="3390" spans="9:10" x14ac:dyDescent="0.25">
      <c r="I3390" s="199"/>
      <c r="J3390" s="199"/>
    </row>
    <row r="3391" spans="9:10" x14ac:dyDescent="0.25">
      <c r="I3391" s="199"/>
      <c r="J3391" s="199"/>
    </row>
    <row r="3392" spans="9:10" x14ac:dyDescent="0.25">
      <c r="I3392" s="199"/>
      <c r="J3392" s="199"/>
    </row>
    <row r="3393" spans="9:10" x14ac:dyDescent="0.25">
      <c r="I3393" s="199"/>
      <c r="J3393" s="199"/>
    </row>
    <row r="3394" spans="9:10" x14ac:dyDescent="0.25">
      <c r="I3394" s="199"/>
      <c r="J3394" s="199"/>
    </row>
    <row r="3395" spans="9:10" x14ac:dyDescent="0.25">
      <c r="I3395" s="199"/>
      <c r="J3395" s="199"/>
    </row>
    <row r="3396" spans="9:10" x14ac:dyDescent="0.25">
      <c r="I3396" s="199"/>
      <c r="J3396" s="199"/>
    </row>
    <row r="3397" spans="9:10" x14ac:dyDescent="0.25">
      <c r="I3397" s="199"/>
      <c r="J3397" s="199"/>
    </row>
    <row r="3398" spans="9:10" x14ac:dyDescent="0.25">
      <c r="I3398" s="199"/>
      <c r="J3398" s="199"/>
    </row>
    <row r="3399" spans="9:10" x14ac:dyDescent="0.25">
      <c r="I3399" s="199"/>
      <c r="J3399" s="199"/>
    </row>
    <row r="3400" spans="9:10" x14ac:dyDescent="0.25">
      <c r="I3400" s="199"/>
      <c r="J3400" s="199"/>
    </row>
    <row r="3401" spans="9:10" x14ac:dyDescent="0.25">
      <c r="I3401" s="199"/>
      <c r="J3401" s="199"/>
    </row>
    <row r="3402" spans="9:10" x14ac:dyDescent="0.25">
      <c r="I3402" s="199"/>
      <c r="J3402" s="199"/>
    </row>
    <row r="3403" spans="9:10" x14ac:dyDescent="0.25">
      <c r="I3403" s="199"/>
      <c r="J3403" s="199"/>
    </row>
    <row r="3404" spans="9:10" x14ac:dyDescent="0.25">
      <c r="I3404" s="199"/>
      <c r="J3404" s="199"/>
    </row>
    <row r="3405" spans="9:10" x14ac:dyDescent="0.25">
      <c r="I3405" s="199"/>
      <c r="J3405" s="199"/>
    </row>
    <row r="3406" spans="9:10" x14ac:dyDescent="0.25">
      <c r="I3406" s="199"/>
      <c r="J3406" s="199"/>
    </row>
    <row r="3407" spans="9:10" x14ac:dyDescent="0.25">
      <c r="I3407" s="199"/>
      <c r="J3407" s="199"/>
    </row>
    <row r="3408" spans="9:10" x14ac:dyDescent="0.25">
      <c r="I3408" s="199"/>
      <c r="J3408" s="199"/>
    </row>
    <row r="3409" spans="9:10" x14ac:dyDescent="0.25">
      <c r="I3409" s="199"/>
      <c r="J3409" s="199"/>
    </row>
    <row r="3410" spans="9:10" x14ac:dyDescent="0.25">
      <c r="I3410" s="199"/>
      <c r="J3410" s="199"/>
    </row>
    <row r="3411" spans="9:10" x14ac:dyDescent="0.25">
      <c r="I3411" s="199"/>
      <c r="J3411" s="199"/>
    </row>
    <row r="3412" spans="9:10" x14ac:dyDescent="0.25">
      <c r="I3412" s="199"/>
      <c r="J3412" s="199"/>
    </row>
    <row r="3413" spans="9:10" x14ac:dyDescent="0.25">
      <c r="I3413" s="199"/>
      <c r="J3413" s="199"/>
    </row>
    <row r="3414" spans="9:10" x14ac:dyDescent="0.25">
      <c r="I3414" s="199"/>
      <c r="J3414" s="199"/>
    </row>
    <row r="3415" spans="9:10" x14ac:dyDescent="0.25">
      <c r="I3415" s="199"/>
      <c r="J3415" s="199"/>
    </row>
    <row r="3416" spans="9:10" x14ac:dyDescent="0.25">
      <c r="I3416" s="199"/>
      <c r="J3416" s="199"/>
    </row>
    <row r="3417" spans="9:10" x14ac:dyDescent="0.25">
      <c r="I3417" s="199"/>
      <c r="J3417" s="199"/>
    </row>
    <row r="3418" spans="9:10" x14ac:dyDescent="0.25">
      <c r="I3418" s="199"/>
      <c r="J3418" s="199"/>
    </row>
    <row r="3419" spans="9:10" x14ac:dyDescent="0.25">
      <c r="I3419" s="199"/>
      <c r="J3419" s="199"/>
    </row>
    <row r="3420" spans="9:10" x14ac:dyDescent="0.25">
      <c r="I3420" s="199"/>
      <c r="J3420" s="199"/>
    </row>
    <row r="3421" spans="9:10" x14ac:dyDescent="0.25">
      <c r="I3421" s="199"/>
      <c r="J3421" s="199"/>
    </row>
    <row r="3422" spans="9:10" x14ac:dyDescent="0.25">
      <c r="I3422" s="199"/>
      <c r="J3422" s="199"/>
    </row>
    <row r="3423" spans="9:10" x14ac:dyDescent="0.25">
      <c r="I3423" s="199"/>
      <c r="J3423" s="199"/>
    </row>
    <row r="3424" spans="9:10" x14ac:dyDescent="0.25">
      <c r="I3424" s="199"/>
      <c r="J3424" s="199"/>
    </row>
    <row r="3425" spans="9:10" x14ac:dyDescent="0.25">
      <c r="I3425" s="199"/>
      <c r="J3425" s="199"/>
    </row>
    <row r="3426" spans="9:10" x14ac:dyDescent="0.25">
      <c r="I3426" s="199"/>
      <c r="J3426" s="199"/>
    </row>
    <row r="3427" spans="9:10" x14ac:dyDescent="0.25">
      <c r="I3427" s="199"/>
      <c r="J3427" s="199"/>
    </row>
    <row r="3428" spans="9:10" x14ac:dyDescent="0.25">
      <c r="I3428" s="199"/>
      <c r="J3428" s="199"/>
    </row>
    <row r="3429" spans="9:10" x14ac:dyDescent="0.25">
      <c r="I3429" s="199"/>
      <c r="J3429" s="199"/>
    </row>
    <row r="3430" spans="9:10" x14ac:dyDescent="0.25">
      <c r="I3430" s="199"/>
      <c r="J3430" s="199"/>
    </row>
    <row r="3431" spans="9:10" x14ac:dyDescent="0.25">
      <c r="I3431" s="199"/>
      <c r="J3431" s="199"/>
    </row>
    <row r="3432" spans="9:10" x14ac:dyDescent="0.25">
      <c r="I3432" s="199"/>
      <c r="J3432" s="199"/>
    </row>
    <row r="3433" spans="9:10" x14ac:dyDescent="0.25">
      <c r="I3433" s="199"/>
      <c r="J3433" s="199"/>
    </row>
    <row r="3434" spans="9:10" x14ac:dyDescent="0.25">
      <c r="I3434" s="199"/>
      <c r="J3434" s="199"/>
    </row>
    <row r="3435" spans="9:10" x14ac:dyDescent="0.25">
      <c r="I3435" s="199"/>
      <c r="J3435" s="199"/>
    </row>
    <row r="3436" spans="9:10" x14ac:dyDescent="0.25">
      <c r="I3436" s="199"/>
      <c r="J3436" s="199"/>
    </row>
    <row r="3437" spans="9:10" x14ac:dyDescent="0.25">
      <c r="I3437" s="199"/>
      <c r="J3437" s="199"/>
    </row>
    <row r="3438" spans="9:10" x14ac:dyDescent="0.25">
      <c r="I3438" s="199"/>
      <c r="J3438" s="199"/>
    </row>
    <row r="3439" spans="9:10" x14ac:dyDescent="0.25">
      <c r="I3439" s="199"/>
      <c r="J3439" s="199"/>
    </row>
    <row r="3440" spans="9:10" x14ac:dyDescent="0.25">
      <c r="I3440" s="199"/>
      <c r="J3440" s="199"/>
    </row>
    <row r="3441" spans="9:10" x14ac:dyDescent="0.25">
      <c r="I3441" s="199"/>
      <c r="J3441" s="199"/>
    </row>
    <row r="3442" spans="9:10" x14ac:dyDescent="0.25">
      <c r="I3442" s="199"/>
      <c r="J3442" s="199"/>
    </row>
    <row r="3443" spans="9:10" x14ac:dyDescent="0.25">
      <c r="I3443" s="199"/>
      <c r="J3443" s="199"/>
    </row>
    <row r="3444" spans="9:10" x14ac:dyDescent="0.25">
      <c r="I3444" s="199"/>
      <c r="J3444" s="199"/>
    </row>
    <row r="3445" spans="9:10" x14ac:dyDescent="0.25">
      <c r="I3445" s="199"/>
      <c r="J3445" s="199"/>
    </row>
    <row r="3446" spans="9:10" x14ac:dyDescent="0.25">
      <c r="I3446" s="199"/>
      <c r="J3446" s="199"/>
    </row>
    <row r="3447" spans="9:10" x14ac:dyDescent="0.25">
      <c r="I3447" s="199"/>
      <c r="J3447" s="199"/>
    </row>
    <row r="3448" spans="9:10" x14ac:dyDescent="0.25">
      <c r="I3448" s="199"/>
      <c r="J3448" s="199"/>
    </row>
    <row r="3449" spans="9:10" x14ac:dyDescent="0.25">
      <c r="I3449" s="199"/>
      <c r="J3449" s="199"/>
    </row>
    <row r="3450" spans="9:10" x14ac:dyDescent="0.25">
      <c r="I3450" s="199"/>
      <c r="J3450" s="199"/>
    </row>
    <row r="3451" spans="9:10" x14ac:dyDescent="0.25">
      <c r="I3451" s="199"/>
      <c r="J3451" s="199"/>
    </row>
    <row r="3452" spans="9:10" x14ac:dyDescent="0.25">
      <c r="I3452" s="199"/>
      <c r="J3452" s="199"/>
    </row>
    <row r="3453" spans="9:10" x14ac:dyDescent="0.25">
      <c r="I3453" s="199"/>
      <c r="J3453" s="199"/>
    </row>
    <row r="3454" spans="9:10" x14ac:dyDescent="0.25">
      <c r="I3454" s="199"/>
      <c r="J3454" s="199"/>
    </row>
    <row r="3455" spans="9:10" x14ac:dyDescent="0.25">
      <c r="I3455" s="199"/>
      <c r="J3455" s="199"/>
    </row>
    <row r="3456" spans="9:10" x14ac:dyDescent="0.25">
      <c r="I3456" s="199"/>
      <c r="J3456" s="199"/>
    </row>
    <row r="3457" spans="9:10" x14ac:dyDescent="0.25">
      <c r="I3457" s="199"/>
      <c r="J3457" s="199"/>
    </row>
    <row r="3458" spans="9:10" x14ac:dyDescent="0.25">
      <c r="I3458" s="199"/>
      <c r="J3458" s="199"/>
    </row>
    <row r="3459" spans="9:10" x14ac:dyDescent="0.25">
      <c r="I3459" s="199"/>
      <c r="J3459" s="199"/>
    </row>
    <row r="3460" spans="9:10" x14ac:dyDescent="0.25">
      <c r="I3460" s="199"/>
      <c r="J3460" s="199"/>
    </row>
    <row r="3461" spans="9:10" x14ac:dyDescent="0.25">
      <c r="I3461" s="199"/>
      <c r="J3461" s="199"/>
    </row>
    <row r="3462" spans="9:10" x14ac:dyDescent="0.25">
      <c r="I3462" s="199"/>
      <c r="J3462" s="199"/>
    </row>
    <row r="3463" spans="9:10" x14ac:dyDescent="0.25">
      <c r="I3463" s="199"/>
      <c r="J3463" s="199"/>
    </row>
    <row r="3464" spans="9:10" x14ac:dyDescent="0.25">
      <c r="I3464" s="199"/>
      <c r="J3464" s="199"/>
    </row>
    <row r="3465" spans="9:10" x14ac:dyDescent="0.25">
      <c r="I3465" s="199"/>
      <c r="J3465" s="199"/>
    </row>
    <row r="3466" spans="9:10" x14ac:dyDescent="0.25">
      <c r="I3466" s="199"/>
      <c r="J3466" s="199"/>
    </row>
    <row r="3467" spans="9:10" x14ac:dyDescent="0.25">
      <c r="I3467" s="199"/>
      <c r="J3467" s="199"/>
    </row>
    <row r="3468" spans="9:10" x14ac:dyDescent="0.25">
      <c r="I3468" s="199"/>
      <c r="J3468" s="199"/>
    </row>
    <row r="3469" spans="9:10" x14ac:dyDescent="0.25">
      <c r="I3469" s="199"/>
      <c r="J3469" s="199"/>
    </row>
    <row r="3470" spans="9:10" x14ac:dyDescent="0.25">
      <c r="I3470" s="199"/>
      <c r="J3470" s="199"/>
    </row>
    <row r="3471" spans="9:10" x14ac:dyDescent="0.25">
      <c r="I3471" s="199"/>
      <c r="J3471" s="199"/>
    </row>
    <row r="3472" spans="9:10" x14ac:dyDescent="0.25">
      <c r="I3472" s="199"/>
      <c r="J3472" s="199"/>
    </row>
    <row r="3473" spans="9:10" x14ac:dyDescent="0.25">
      <c r="I3473" s="199"/>
      <c r="J3473" s="199"/>
    </row>
    <row r="3474" spans="9:10" x14ac:dyDescent="0.25">
      <c r="I3474" s="199"/>
      <c r="J3474" s="199"/>
    </row>
    <row r="3475" spans="9:10" x14ac:dyDescent="0.25">
      <c r="I3475" s="199"/>
      <c r="J3475" s="199"/>
    </row>
    <row r="3476" spans="9:10" x14ac:dyDescent="0.25">
      <c r="I3476" s="199"/>
      <c r="J3476" s="199"/>
    </row>
    <row r="3477" spans="9:10" x14ac:dyDescent="0.25">
      <c r="I3477" s="199"/>
      <c r="J3477" s="199"/>
    </row>
    <row r="3478" spans="9:10" x14ac:dyDescent="0.25">
      <c r="I3478" s="199"/>
      <c r="J3478" s="199"/>
    </row>
    <row r="3479" spans="9:10" x14ac:dyDescent="0.25">
      <c r="I3479" s="199"/>
      <c r="J3479" s="199"/>
    </row>
    <row r="3480" spans="9:10" x14ac:dyDescent="0.25">
      <c r="I3480" s="199"/>
      <c r="J3480" s="199"/>
    </row>
    <row r="3481" spans="9:10" x14ac:dyDescent="0.25">
      <c r="I3481" s="199"/>
      <c r="J3481" s="199"/>
    </row>
    <row r="3482" spans="9:10" x14ac:dyDescent="0.25">
      <c r="I3482" s="199"/>
      <c r="J3482" s="199"/>
    </row>
    <row r="3483" spans="9:10" x14ac:dyDescent="0.25">
      <c r="I3483" s="199"/>
      <c r="J3483" s="199"/>
    </row>
    <row r="3484" spans="9:10" x14ac:dyDescent="0.25">
      <c r="I3484" s="199"/>
      <c r="J3484" s="199"/>
    </row>
    <row r="3485" spans="9:10" x14ac:dyDescent="0.25">
      <c r="I3485" s="199"/>
      <c r="J3485" s="199"/>
    </row>
    <row r="3486" spans="9:10" x14ac:dyDescent="0.25">
      <c r="I3486" s="199"/>
      <c r="J3486" s="199"/>
    </row>
    <row r="3487" spans="9:10" x14ac:dyDescent="0.25">
      <c r="I3487" s="199"/>
      <c r="J3487" s="199"/>
    </row>
    <row r="3488" spans="9:10" x14ac:dyDescent="0.25">
      <c r="I3488" s="199"/>
      <c r="J3488" s="199"/>
    </row>
    <row r="3489" spans="9:10" x14ac:dyDescent="0.25">
      <c r="I3489" s="199"/>
      <c r="J3489" s="199"/>
    </row>
    <row r="3490" spans="9:10" x14ac:dyDescent="0.25">
      <c r="I3490" s="199"/>
      <c r="J3490" s="199"/>
    </row>
    <row r="3491" spans="9:10" x14ac:dyDescent="0.25">
      <c r="I3491" s="199"/>
      <c r="J3491" s="199"/>
    </row>
    <row r="3492" spans="9:10" x14ac:dyDescent="0.25">
      <c r="I3492" s="199"/>
      <c r="J3492" s="199"/>
    </row>
    <row r="3493" spans="9:10" x14ac:dyDescent="0.25">
      <c r="I3493" s="199"/>
      <c r="J3493" s="199"/>
    </row>
    <row r="3494" spans="9:10" x14ac:dyDescent="0.25">
      <c r="I3494" s="199"/>
      <c r="J3494" s="199"/>
    </row>
    <row r="3495" spans="9:10" x14ac:dyDescent="0.25">
      <c r="I3495" s="199"/>
      <c r="J3495" s="199"/>
    </row>
    <row r="3496" spans="9:10" x14ac:dyDescent="0.25">
      <c r="I3496" s="199"/>
      <c r="J3496" s="199"/>
    </row>
    <row r="3497" spans="9:10" x14ac:dyDescent="0.25">
      <c r="I3497" s="199"/>
      <c r="J3497" s="199"/>
    </row>
    <row r="3498" spans="9:10" x14ac:dyDescent="0.25">
      <c r="I3498" s="199"/>
      <c r="J3498" s="199"/>
    </row>
    <row r="3499" spans="9:10" x14ac:dyDescent="0.25">
      <c r="I3499" s="199"/>
      <c r="J3499" s="199"/>
    </row>
    <row r="3500" spans="9:10" x14ac:dyDescent="0.25">
      <c r="I3500" s="199"/>
      <c r="J3500" s="199"/>
    </row>
    <row r="3501" spans="9:10" x14ac:dyDescent="0.25">
      <c r="I3501" s="199"/>
      <c r="J3501" s="199"/>
    </row>
    <row r="3502" spans="9:10" x14ac:dyDescent="0.25">
      <c r="I3502" s="199"/>
      <c r="J3502" s="199"/>
    </row>
    <row r="3503" spans="9:10" x14ac:dyDescent="0.25">
      <c r="I3503" s="199"/>
      <c r="J3503" s="199"/>
    </row>
    <row r="3504" spans="9:10" x14ac:dyDescent="0.25">
      <c r="I3504" s="199"/>
      <c r="J3504" s="199"/>
    </row>
    <row r="3505" spans="9:10" x14ac:dyDescent="0.25">
      <c r="I3505" s="199"/>
      <c r="J3505" s="199"/>
    </row>
    <row r="3506" spans="9:10" x14ac:dyDescent="0.25">
      <c r="I3506" s="199"/>
      <c r="J3506" s="199"/>
    </row>
    <row r="3507" spans="9:10" x14ac:dyDescent="0.25">
      <c r="I3507" s="199"/>
      <c r="J3507" s="199"/>
    </row>
    <row r="3508" spans="9:10" x14ac:dyDescent="0.25">
      <c r="I3508" s="199"/>
      <c r="J3508" s="199"/>
    </row>
    <row r="3509" spans="9:10" x14ac:dyDescent="0.25">
      <c r="I3509" s="199"/>
      <c r="J3509" s="199"/>
    </row>
    <row r="3510" spans="9:10" x14ac:dyDescent="0.25">
      <c r="I3510" s="199"/>
      <c r="J3510" s="199"/>
    </row>
    <row r="3511" spans="9:10" x14ac:dyDescent="0.25">
      <c r="I3511" s="199"/>
      <c r="J3511" s="199"/>
    </row>
    <row r="3512" spans="9:10" x14ac:dyDescent="0.25">
      <c r="I3512" s="199"/>
      <c r="J3512" s="199"/>
    </row>
    <row r="3513" spans="9:10" x14ac:dyDescent="0.25">
      <c r="I3513" s="199"/>
      <c r="J3513" s="199"/>
    </row>
    <row r="3514" spans="9:10" x14ac:dyDescent="0.25">
      <c r="I3514" s="199"/>
      <c r="J3514" s="199"/>
    </row>
    <row r="3515" spans="9:10" x14ac:dyDescent="0.25">
      <c r="I3515" s="199"/>
      <c r="J3515" s="199"/>
    </row>
    <row r="3516" spans="9:10" x14ac:dyDescent="0.25">
      <c r="I3516" s="199"/>
      <c r="J3516" s="199"/>
    </row>
    <row r="3517" spans="9:10" x14ac:dyDescent="0.25">
      <c r="I3517" s="199"/>
      <c r="J3517" s="199"/>
    </row>
    <row r="3518" spans="9:10" x14ac:dyDescent="0.25">
      <c r="I3518" s="199"/>
      <c r="J3518" s="199"/>
    </row>
    <row r="3519" spans="9:10" x14ac:dyDescent="0.25">
      <c r="I3519" s="199"/>
      <c r="J3519" s="199"/>
    </row>
    <row r="3520" spans="9:10" x14ac:dyDescent="0.25">
      <c r="I3520" s="199"/>
      <c r="J3520" s="199"/>
    </row>
    <row r="3521" spans="9:10" x14ac:dyDescent="0.25">
      <c r="I3521" s="199"/>
      <c r="J3521" s="199"/>
    </row>
    <row r="3522" spans="9:10" x14ac:dyDescent="0.25">
      <c r="I3522" s="199"/>
      <c r="J3522" s="199"/>
    </row>
    <row r="3523" spans="9:10" x14ac:dyDescent="0.25">
      <c r="I3523" s="199"/>
      <c r="J3523" s="199"/>
    </row>
    <row r="3524" spans="9:10" x14ac:dyDescent="0.25">
      <c r="I3524" s="199"/>
      <c r="J3524" s="199"/>
    </row>
    <row r="3525" spans="9:10" x14ac:dyDescent="0.25">
      <c r="I3525" s="199"/>
      <c r="J3525" s="199"/>
    </row>
    <row r="3526" spans="9:10" x14ac:dyDescent="0.25">
      <c r="I3526" s="199"/>
      <c r="J3526" s="199"/>
    </row>
    <row r="3527" spans="9:10" x14ac:dyDescent="0.25">
      <c r="I3527" s="199"/>
      <c r="J3527" s="199"/>
    </row>
    <row r="3528" spans="9:10" x14ac:dyDescent="0.25">
      <c r="I3528" s="199"/>
      <c r="J3528" s="199"/>
    </row>
    <row r="3529" spans="9:10" x14ac:dyDescent="0.25">
      <c r="I3529" s="199"/>
      <c r="J3529" s="199"/>
    </row>
    <row r="3530" spans="9:10" x14ac:dyDescent="0.25">
      <c r="I3530" s="199"/>
      <c r="J3530" s="199"/>
    </row>
    <row r="3531" spans="9:10" x14ac:dyDescent="0.25">
      <c r="I3531" s="199"/>
      <c r="J3531" s="199"/>
    </row>
    <row r="3532" spans="9:10" x14ac:dyDescent="0.25">
      <c r="I3532" s="199"/>
      <c r="J3532" s="199"/>
    </row>
    <row r="3533" spans="9:10" x14ac:dyDescent="0.25">
      <c r="I3533" s="199"/>
      <c r="J3533" s="199"/>
    </row>
    <row r="3534" spans="9:10" x14ac:dyDescent="0.25">
      <c r="I3534" s="199"/>
      <c r="J3534" s="199"/>
    </row>
    <row r="3535" spans="9:10" x14ac:dyDescent="0.25">
      <c r="I3535" s="199"/>
      <c r="J3535" s="199"/>
    </row>
    <row r="3536" spans="9:10" x14ac:dyDescent="0.25">
      <c r="I3536" s="199"/>
      <c r="J3536" s="199"/>
    </row>
    <row r="3537" spans="9:10" x14ac:dyDescent="0.25">
      <c r="I3537" s="199"/>
      <c r="J3537" s="199"/>
    </row>
    <row r="3538" spans="9:10" x14ac:dyDescent="0.25">
      <c r="I3538" s="199"/>
      <c r="J3538" s="199"/>
    </row>
    <row r="3539" spans="9:10" x14ac:dyDescent="0.25">
      <c r="I3539" s="199"/>
      <c r="J3539" s="199"/>
    </row>
    <row r="3540" spans="9:10" x14ac:dyDescent="0.25">
      <c r="I3540" s="199"/>
      <c r="J3540" s="199"/>
    </row>
    <row r="3541" spans="9:10" x14ac:dyDescent="0.25">
      <c r="I3541" s="199"/>
      <c r="J3541" s="199"/>
    </row>
    <row r="3542" spans="9:10" x14ac:dyDescent="0.25">
      <c r="I3542" s="199"/>
      <c r="J3542" s="199"/>
    </row>
    <row r="3543" spans="9:10" x14ac:dyDescent="0.25">
      <c r="I3543" s="199"/>
      <c r="J3543" s="199"/>
    </row>
    <row r="3544" spans="9:10" x14ac:dyDescent="0.25">
      <c r="I3544" s="199"/>
      <c r="J3544" s="199"/>
    </row>
    <row r="3545" spans="9:10" x14ac:dyDescent="0.25">
      <c r="I3545" s="199"/>
      <c r="J3545" s="199"/>
    </row>
    <row r="3546" spans="9:10" x14ac:dyDescent="0.25">
      <c r="I3546" s="199"/>
      <c r="J3546" s="199"/>
    </row>
    <row r="3547" spans="9:10" x14ac:dyDescent="0.25">
      <c r="I3547" s="199"/>
      <c r="J3547" s="199"/>
    </row>
    <row r="3548" spans="9:10" x14ac:dyDescent="0.25">
      <c r="I3548" s="199"/>
      <c r="J3548" s="199"/>
    </row>
    <row r="3549" spans="9:10" x14ac:dyDescent="0.25">
      <c r="I3549" s="199"/>
      <c r="J3549" s="199"/>
    </row>
    <row r="3550" spans="9:10" x14ac:dyDescent="0.25">
      <c r="I3550" s="199"/>
      <c r="J3550" s="199"/>
    </row>
    <row r="3551" spans="9:10" x14ac:dyDescent="0.25">
      <c r="I3551" s="199"/>
      <c r="J3551" s="199"/>
    </row>
    <row r="3552" spans="9:10" x14ac:dyDescent="0.25">
      <c r="I3552" s="199"/>
      <c r="J3552" s="199"/>
    </row>
    <row r="3553" spans="9:10" x14ac:dyDescent="0.25">
      <c r="I3553" s="199"/>
      <c r="J3553" s="199"/>
    </row>
    <row r="3554" spans="9:10" x14ac:dyDescent="0.25">
      <c r="I3554" s="199"/>
      <c r="J3554" s="199"/>
    </row>
    <row r="3555" spans="9:10" x14ac:dyDescent="0.25">
      <c r="I3555" s="199"/>
      <c r="J3555" s="199"/>
    </row>
    <row r="3556" spans="9:10" x14ac:dyDescent="0.25">
      <c r="I3556" s="199"/>
      <c r="J3556" s="199"/>
    </row>
    <row r="3557" spans="9:10" x14ac:dyDescent="0.25">
      <c r="I3557" s="199"/>
      <c r="J3557" s="199"/>
    </row>
    <row r="3558" spans="9:10" x14ac:dyDescent="0.25">
      <c r="I3558" s="199"/>
      <c r="J3558" s="199"/>
    </row>
    <row r="3559" spans="9:10" x14ac:dyDescent="0.25">
      <c r="I3559" s="199"/>
      <c r="J3559" s="199"/>
    </row>
    <row r="3560" spans="9:10" x14ac:dyDescent="0.25">
      <c r="I3560" s="199"/>
      <c r="J3560" s="199"/>
    </row>
    <row r="3561" spans="9:10" x14ac:dyDescent="0.25">
      <c r="I3561" s="199"/>
      <c r="J3561" s="199"/>
    </row>
    <row r="3562" spans="9:10" x14ac:dyDescent="0.25">
      <c r="I3562" s="199"/>
      <c r="J3562" s="199"/>
    </row>
    <row r="3563" spans="9:10" x14ac:dyDescent="0.25">
      <c r="I3563" s="199"/>
      <c r="J3563" s="199"/>
    </row>
    <row r="3564" spans="9:10" x14ac:dyDescent="0.25">
      <c r="I3564" s="199"/>
      <c r="J3564" s="199"/>
    </row>
    <row r="3565" spans="9:10" x14ac:dyDescent="0.25">
      <c r="I3565" s="199"/>
      <c r="J3565" s="199"/>
    </row>
    <row r="3566" spans="9:10" x14ac:dyDescent="0.25">
      <c r="I3566" s="199"/>
      <c r="J3566" s="199"/>
    </row>
    <row r="3567" spans="9:10" x14ac:dyDescent="0.25">
      <c r="I3567" s="199"/>
      <c r="J3567" s="199"/>
    </row>
    <row r="3568" spans="9:10" x14ac:dyDescent="0.25">
      <c r="I3568" s="199"/>
      <c r="J3568" s="199"/>
    </row>
    <row r="3569" spans="9:10" x14ac:dyDescent="0.25">
      <c r="I3569" s="199"/>
      <c r="J3569" s="199"/>
    </row>
    <row r="3570" spans="9:10" x14ac:dyDescent="0.25">
      <c r="I3570" s="199"/>
      <c r="J3570" s="199"/>
    </row>
    <row r="3571" spans="9:10" x14ac:dyDescent="0.25">
      <c r="I3571" s="199"/>
      <c r="J3571" s="199"/>
    </row>
    <row r="3572" spans="9:10" x14ac:dyDescent="0.25">
      <c r="I3572" s="199"/>
      <c r="J3572" s="199"/>
    </row>
    <row r="3573" spans="9:10" x14ac:dyDescent="0.25">
      <c r="I3573" s="199"/>
      <c r="J3573" s="199"/>
    </row>
    <row r="3574" spans="9:10" x14ac:dyDescent="0.25">
      <c r="I3574" s="199"/>
      <c r="J3574" s="199"/>
    </row>
    <row r="3575" spans="9:10" x14ac:dyDescent="0.25">
      <c r="I3575" s="199"/>
      <c r="J3575" s="199"/>
    </row>
    <row r="3576" spans="9:10" x14ac:dyDescent="0.25">
      <c r="I3576" s="199"/>
      <c r="J3576" s="199"/>
    </row>
    <row r="3577" spans="9:10" x14ac:dyDescent="0.25">
      <c r="I3577" s="199"/>
      <c r="J3577" s="199"/>
    </row>
    <row r="3578" spans="9:10" x14ac:dyDescent="0.25">
      <c r="I3578" s="199"/>
      <c r="J3578" s="199"/>
    </row>
    <row r="3579" spans="9:10" x14ac:dyDescent="0.25">
      <c r="I3579" s="199"/>
      <c r="J3579" s="199"/>
    </row>
    <row r="3580" spans="9:10" x14ac:dyDescent="0.25">
      <c r="I3580" s="199"/>
      <c r="J3580" s="199"/>
    </row>
    <row r="3581" spans="9:10" x14ac:dyDescent="0.25">
      <c r="I3581" s="199"/>
      <c r="J3581" s="199"/>
    </row>
    <row r="3582" spans="9:10" x14ac:dyDescent="0.25">
      <c r="I3582" s="199"/>
      <c r="J3582" s="199"/>
    </row>
    <row r="3583" spans="9:10" x14ac:dyDescent="0.25">
      <c r="I3583" s="199"/>
      <c r="J3583" s="199"/>
    </row>
    <row r="3584" spans="9:10" x14ac:dyDescent="0.25">
      <c r="I3584" s="199"/>
      <c r="J3584" s="199"/>
    </row>
    <row r="3585" spans="9:10" x14ac:dyDescent="0.25">
      <c r="I3585" s="199"/>
      <c r="J3585" s="199"/>
    </row>
    <row r="3586" spans="9:10" x14ac:dyDescent="0.25">
      <c r="I3586" s="199"/>
      <c r="J3586" s="199"/>
    </row>
    <row r="3587" spans="9:10" x14ac:dyDescent="0.25">
      <c r="I3587" s="199"/>
      <c r="J3587" s="199"/>
    </row>
    <row r="3588" spans="9:10" x14ac:dyDescent="0.25">
      <c r="I3588" s="199"/>
      <c r="J3588" s="199"/>
    </row>
    <row r="3589" spans="9:10" x14ac:dyDescent="0.25">
      <c r="I3589" s="199"/>
      <c r="J3589" s="199"/>
    </row>
    <row r="3590" spans="9:10" x14ac:dyDescent="0.25">
      <c r="I3590" s="199"/>
      <c r="J3590" s="199"/>
    </row>
    <row r="3591" spans="9:10" x14ac:dyDescent="0.25">
      <c r="I3591" s="199"/>
      <c r="J3591" s="199"/>
    </row>
    <row r="3592" spans="9:10" x14ac:dyDescent="0.25">
      <c r="I3592" s="199"/>
      <c r="J3592" s="199"/>
    </row>
    <row r="3593" spans="9:10" x14ac:dyDescent="0.25">
      <c r="I3593" s="199"/>
      <c r="J3593" s="199"/>
    </row>
    <row r="3594" spans="9:10" x14ac:dyDescent="0.25">
      <c r="I3594" s="199"/>
      <c r="J3594" s="199"/>
    </row>
    <row r="3595" spans="9:10" x14ac:dyDescent="0.25">
      <c r="I3595" s="199"/>
      <c r="J3595" s="199"/>
    </row>
    <row r="3596" spans="9:10" x14ac:dyDescent="0.25">
      <c r="I3596" s="199"/>
      <c r="J3596" s="199"/>
    </row>
    <row r="3597" spans="9:10" x14ac:dyDescent="0.25">
      <c r="I3597" s="199"/>
      <c r="J3597" s="199"/>
    </row>
    <row r="3598" spans="9:10" x14ac:dyDescent="0.25">
      <c r="I3598" s="199"/>
      <c r="J3598" s="199"/>
    </row>
    <row r="3599" spans="9:10" x14ac:dyDescent="0.25">
      <c r="I3599" s="199"/>
      <c r="J3599" s="199"/>
    </row>
    <row r="3600" spans="9:10" x14ac:dyDescent="0.25">
      <c r="I3600" s="199"/>
      <c r="J3600" s="199"/>
    </row>
    <row r="3601" spans="9:10" x14ac:dyDescent="0.25">
      <c r="I3601" s="199"/>
      <c r="J3601" s="199"/>
    </row>
    <row r="3602" spans="9:10" x14ac:dyDescent="0.25">
      <c r="I3602" s="199"/>
      <c r="J3602" s="199"/>
    </row>
    <row r="3603" spans="9:10" x14ac:dyDescent="0.25">
      <c r="I3603" s="199"/>
      <c r="J3603" s="199"/>
    </row>
    <row r="3604" spans="9:10" x14ac:dyDescent="0.25">
      <c r="I3604" s="199"/>
      <c r="J3604" s="199"/>
    </row>
    <row r="3605" spans="9:10" x14ac:dyDescent="0.25">
      <c r="I3605" s="199"/>
      <c r="J3605" s="199"/>
    </row>
    <row r="3606" spans="9:10" x14ac:dyDescent="0.25">
      <c r="I3606" s="199"/>
      <c r="J3606" s="199"/>
    </row>
    <row r="3607" spans="9:10" x14ac:dyDescent="0.25">
      <c r="I3607" s="199"/>
      <c r="J3607" s="199"/>
    </row>
    <row r="3608" spans="9:10" x14ac:dyDescent="0.25">
      <c r="I3608" s="199"/>
      <c r="J3608" s="199"/>
    </row>
    <row r="3609" spans="9:10" x14ac:dyDescent="0.25">
      <c r="I3609" s="199"/>
      <c r="J3609" s="199"/>
    </row>
    <row r="3610" spans="9:10" x14ac:dyDescent="0.25">
      <c r="I3610" s="199"/>
      <c r="J3610" s="199"/>
    </row>
    <row r="3611" spans="9:10" x14ac:dyDescent="0.25">
      <c r="I3611" s="199"/>
      <c r="J3611" s="199"/>
    </row>
    <row r="3612" spans="9:10" x14ac:dyDescent="0.25">
      <c r="I3612" s="199"/>
      <c r="J3612" s="199"/>
    </row>
    <row r="3613" spans="9:10" x14ac:dyDescent="0.25">
      <c r="I3613" s="199"/>
      <c r="J3613" s="199"/>
    </row>
    <row r="3614" spans="9:10" x14ac:dyDescent="0.25">
      <c r="I3614" s="199"/>
      <c r="J3614" s="199"/>
    </row>
    <row r="3615" spans="9:10" x14ac:dyDescent="0.25">
      <c r="I3615" s="199"/>
      <c r="J3615" s="199"/>
    </row>
    <row r="3616" spans="9:10" x14ac:dyDescent="0.25">
      <c r="I3616" s="199"/>
      <c r="J3616" s="199"/>
    </row>
    <row r="3617" spans="9:10" x14ac:dyDescent="0.25">
      <c r="I3617" s="199"/>
      <c r="J3617" s="199"/>
    </row>
    <row r="3618" spans="9:10" x14ac:dyDescent="0.25">
      <c r="I3618" s="199"/>
      <c r="J3618" s="199"/>
    </row>
    <row r="3619" spans="9:10" x14ac:dyDescent="0.25">
      <c r="I3619" s="199"/>
      <c r="J3619" s="199"/>
    </row>
    <row r="3620" spans="9:10" x14ac:dyDescent="0.25">
      <c r="I3620" s="199"/>
      <c r="J3620" s="199"/>
    </row>
    <row r="3621" spans="9:10" x14ac:dyDescent="0.25">
      <c r="I3621" s="199"/>
      <c r="J3621" s="199"/>
    </row>
    <row r="3622" spans="9:10" x14ac:dyDescent="0.25">
      <c r="I3622" s="199"/>
      <c r="J3622" s="199"/>
    </row>
    <row r="3623" spans="9:10" x14ac:dyDescent="0.25">
      <c r="I3623" s="199"/>
      <c r="J3623" s="199"/>
    </row>
    <row r="3624" spans="9:10" x14ac:dyDescent="0.25">
      <c r="I3624" s="199"/>
      <c r="J3624" s="199"/>
    </row>
    <row r="3625" spans="9:10" x14ac:dyDescent="0.25">
      <c r="I3625" s="199"/>
      <c r="J3625" s="199"/>
    </row>
    <row r="3626" spans="9:10" x14ac:dyDescent="0.25">
      <c r="I3626" s="199"/>
      <c r="J3626" s="199"/>
    </row>
    <row r="3627" spans="9:10" x14ac:dyDescent="0.25">
      <c r="I3627" s="199"/>
      <c r="J3627" s="199"/>
    </row>
    <row r="3628" spans="9:10" x14ac:dyDescent="0.25">
      <c r="I3628" s="199"/>
      <c r="J3628" s="199"/>
    </row>
    <row r="3629" spans="9:10" x14ac:dyDescent="0.25">
      <c r="I3629" s="199"/>
      <c r="J3629" s="199"/>
    </row>
    <row r="3630" spans="9:10" x14ac:dyDescent="0.25">
      <c r="I3630" s="199"/>
      <c r="J3630" s="199"/>
    </row>
    <row r="3631" spans="9:10" x14ac:dyDescent="0.25">
      <c r="I3631" s="199"/>
      <c r="J3631" s="199"/>
    </row>
    <row r="3632" spans="9:10" x14ac:dyDescent="0.25">
      <c r="I3632" s="199"/>
      <c r="J3632" s="199"/>
    </row>
    <row r="3633" spans="9:10" x14ac:dyDescent="0.25">
      <c r="I3633" s="199"/>
      <c r="J3633" s="199"/>
    </row>
    <row r="3634" spans="9:10" x14ac:dyDescent="0.25">
      <c r="I3634" s="199"/>
      <c r="J3634" s="199"/>
    </row>
    <row r="3635" spans="9:10" x14ac:dyDescent="0.25">
      <c r="I3635" s="199"/>
      <c r="J3635" s="199"/>
    </row>
    <row r="3636" spans="9:10" x14ac:dyDescent="0.25">
      <c r="I3636" s="199"/>
      <c r="J3636" s="199"/>
    </row>
    <row r="3637" spans="9:10" x14ac:dyDescent="0.25">
      <c r="I3637" s="199"/>
      <c r="J3637" s="199"/>
    </row>
    <row r="3638" spans="9:10" x14ac:dyDescent="0.25">
      <c r="I3638" s="199"/>
      <c r="J3638" s="199"/>
    </row>
    <row r="3639" spans="9:10" x14ac:dyDescent="0.25">
      <c r="I3639" s="199"/>
      <c r="J3639" s="199"/>
    </row>
    <row r="3640" spans="9:10" x14ac:dyDescent="0.25">
      <c r="I3640" s="199"/>
      <c r="J3640" s="199"/>
    </row>
    <row r="3641" spans="9:10" x14ac:dyDescent="0.25">
      <c r="I3641" s="199"/>
      <c r="J3641" s="199"/>
    </row>
    <row r="3642" spans="9:10" x14ac:dyDescent="0.25">
      <c r="I3642" s="199"/>
      <c r="J3642" s="199"/>
    </row>
    <row r="3643" spans="9:10" x14ac:dyDescent="0.25">
      <c r="I3643" s="199"/>
      <c r="J3643" s="199"/>
    </row>
    <row r="3644" spans="9:10" x14ac:dyDescent="0.25">
      <c r="I3644" s="199"/>
      <c r="J3644" s="199"/>
    </row>
    <row r="3645" spans="9:10" x14ac:dyDescent="0.25">
      <c r="I3645" s="199"/>
      <c r="J3645" s="199"/>
    </row>
    <row r="3646" spans="9:10" x14ac:dyDescent="0.25">
      <c r="I3646" s="199"/>
      <c r="J3646" s="199"/>
    </row>
    <row r="3647" spans="9:10" x14ac:dyDescent="0.25">
      <c r="I3647" s="199"/>
      <c r="J3647" s="199"/>
    </row>
    <row r="3648" spans="9:10" x14ac:dyDescent="0.25">
      <c r="I3648" s="199"/>
      <c r="J3648" s="199"/>
    </row>
    <row r="3649" spans="9:10" x14ac:dyDescent="0.25">
      <c r="I3649" s="199"/>
      <c r="J3649" s="199"/>
    </row>
    <row r="3650" spans="9:10" x14ac:dyDescent="0.25">
      <c r="I3650" s="199"/>
      <c r="J3650" s="199"/>
    </row>
    <row r="3651" spans="9:10" x14ac:dyDescent="0.25">
      <c r="I3651" s="199"/>
      <c r="J3651" s="199"/>
    </row>
    <row r="3652" spans="9:10" x14ac:dyDescent="0.25">
      <c r="I3652" s="199"/>
      <c r="J3652" s="199"/>
    </row>
    <row r="3653" spans="9:10" x14ac:dyDescent="0.25">
      <c r="I3653" s="199"/>
      <c r="J3653" s="199"/>
    </row>
    <row r="3654" spans="9:10" x14ac:dyDescent="0.25">
      <c r="I3654" s="199"/>
      <c r="J3654" s="199"/>
    </row>
    <row r="3655" spans="9:10" x14ac:dyDescent="0.25">
      <c r="I3655" s="199"/>
      <c r="J3655" s="199"/>
    </row>
    <row r="3656" spans="9:10" x14ac:dyDescent="0.25">
      <c r="I3656" s="199"/>
      <c r="J3656" s="199"/>
    </row>
    <row r="3657" spans="9:10" x14ac:dyDescent="0.25">
      <c r="I3657" s="199"/>
      <c r="J3657" s="199"/>
    </row>
    <row r="3658" spans="9:10" x14ac:dyDescent="0.25">
      <c r="I3658" s="199"/>
      <c r="J3658" s="199"/>
    </row>
    <row r="3659" spans="9:10" x14ac:dyDescent="0.25">
      <c r="I3659" s="199"/>
      <c r="J3659" s="199"/>
    </row>
    <row r="3660" spans="9:10" x14ac:dyDescent="0.25">
      <c r="I3660" s="199"/>
      <c r="J3660" s="199"/>
    </row>
    <row r="3661" spans="9:10" x14ac:dyDescent="0.25">
      <c r="I3661" s="199"/>
      <c r="J3661" s="199"/>
    </row>
    <row r="3662" spans="9:10" x14ac:dyDescent="0.25">
      <c r="I3662" s="199"/>
      <c r="J3662" s="199"/>
    </row>
    <row r="3663" spans="9:10" x14ac:dyDescent="0.25">
      <c r="I3663" s="199"/>
      <c r="J3663" s="199"/>
    </row>
    <row r="3664" spans="9:10" x14ac:dyDescent="0.25">
      <c r="I3664" s="199"/>
      <c r="J3664" s="199"/>
    </row>
    <row r="3665" spans="9:10" x14ac:dyDescent="0.25">
      <c r="I3665" s="199"/>
      <c r="J3665" s="199"/>
    </row>
    <row r="3666" spans="9:10" x14ac:dyDescent="0.25">
      <c r="I3666" s="199"/>
      <c r="J3666" s="199"/>
    </row>
    <row r="3667" spans="9:10" x14ac:dyDescent="0.25">
      <c r="I3667" s="199"/>
      <c r="J3667" s="199"/>
    </row>
    <row r="3668" spans="9:10" x14ac:dyDescent="0.25">
      <c r="I3668" s="199"/>
      <c r="J3668" s="199"/>
    </row>
    <row r="3669" spans="9:10" x14ac:dyDescent="0.25">
      <c r="I3669" s="199"/>
      <c r="J3669" s="199"/>
    </row>
    <row r="3670" spans="9:10" x14ac:dyDescent="0.25">
      <c r="I3670" s="199"/>
      <c r="J3670" s="199"/>
    </row>
    <row r="3671" spans="9:10" x14ac:dyDescent="0.25">
      <c r="I3671" s="199"/>
      <c r="J3671" s="199"/>
    </row>
    <row r="3672" spans="9:10" x14ac:dyDescent="0.25">
      <c r="I3672" s="199"/>
      <c r="J3672" s="199"/>
    </row>
    <row r="3673" spans="9:10" x14ac:dyDescent="0.25">
      <c r="I3673" s="199"/>
      <c r="J3673" s="199"/>
    </row>
    <row r="3674" spans="9:10" x14ac:dyDescent="0.25">
      <c r="I3674" s="199"/>
      <c r="J3674" s="199"/>
    </row>
    <row r="3675" spans="9:10" x14ac:dyDescent="0.25">
      <c r="I3675" s="199"/>
      <c r="J3675" s="199"/>
    </row>
    <row r="3676" spans="9:10" x14ac:dyDescent="0.25">
      <c r="I3676" s="199"/>
      <c r="J3676" s="199"/>
    </row>
    <row r="3677" spans="9:10" x14ac:dyDescent="0.25">
      <c r="I3677" s="199"/>
      <c r="J3677" s="199"/>
    </row>
    <row r="3678" spans="9:10" x14ac:dyDescent="0.25">
      <c r="I3678" s="199"/>
      <c r="J3678" s="199"/>
    </row>
    <row r="3679" spans="9:10" x14ac:dyDescent="0.25">
      <c r="I3679" s="199"/>
      <c r="J3679" s="199"/>
    </row>
    <row r="3680" spans="9:10" x14ac:dyDescent="0.25">
      <c r="I3680" s="199"/>
      <c r="J3680" s="199"/>
    </row>
    <row r="3681" spans="9:10" x14ac:dyDescent="0.25">
      <c r="I3681" s="199"/>
      <c r="J3681" s="199"/>
    </row>
    <row r="3682" spans="9:10" x14ac:dyDescent="0.25">
      <c r="I3682" s="199"/>
      <c r="J3682" s="199"/>
    </row>
    <row r="3683" spans="9:10" x14ac:dyDescent="0.25">
      <c r="I3683" s="199"/>
      <c r="J3683" s="199"/>
    </row>
    <row r="3684" spans="9:10" x14ac:dyDescent="0.25">
      <c r="I3684" s="199"/>
      <c r="J3684" s="199"/>
    </row>
    <row r="3685" spans="9:10" x14ac:dyDescent="0.25">
      <c r="I3685" s="199"/>
      <c r="J3685" s="199"/>
    </row>
    <row r="3686" spans="9:10" x14ac:dyDescent="0.25">
      <c r="I3686" s="199"/>
      <c r="J3686" s="199"/>
    </row>
    <row r="3687" spans="9:10" x14ac:dyDescent="0.25">
      <c r="I3687" s="199"/>
      <c r="J3687" s="199"/>
    </row>
    <row r="3688" spans="9:10" x14ac:dyDescent="0.25">
      <c r="I3688" s="199"/>
      <c r="J3688" s="199"/>
    </row>
    <row r="3689" spans="9:10" x14ac:dyDescent="0.25">
      <c r="I3689" s="199"/>
      <c r="J3689" s="199"/>
    </row>
    <row r="3690" spans="9:10" x14ac:dyDescent="0.25">
      <c r="I3690" s="199"/>
      <c r="J3690" s="199"/>
    </row>
    <row r="3691" spans="9:10" x14ac:dyDescent="0.25">
      <c r="I3691" s="199"/>
      <c r="J3691" s="199"/>
    </row>
    <row r="3692" spans="9:10" x14ac:dyDescent="0.25">
      <c r="I3692" s="199"/>
      <c r="J3692" s="199"/>
    </row>
    <row r="3693" spans="9:10" x14ac:dyDescent="0.25">
      <c r="I3693" s="199"/>
      <c r="J3693" s="199"/>
    </row>
    <row r="3694" spans="9:10" x14ac:dyDescent="0.25">
      <c r="I3694" s="199"/>
      <c r="J3694" s="199"/>
    </row>
    <row r="3695" spans="9:10" x14ac:dyDescent="0.25">
      <c r="I3695" s="199"/>
      <c r="J3695" s="199"/>
    </row>
    <row r="3696" spans="9:10" x14ac:dyDescent="0.25">
      <c r="I3696" s="199"/>
      <c r="J3696" s="199"/>
    </row>
    <row r="3697" spans="9:10" x14ac:dyDescent="0.25">
      <c r="I3697" s="199"/>
      <c r="J3697" s="199"/>
    </row>
    <row r="3698" spans="9:10" x14ac:dyDescent="0.25">
      <c r="I3698" s="199"/>
      <c r="J3698" s="199"/>
    </row>
    <row r="3699" spans="9:10" x14ac:dyDescent="0.25">
      <c r="I3699" s="199"/>
      <c r="J3699" s="199"/>
    </row>
    <row r="3700" spans="9:10" x14ac:dyDescent="0.25">
      <c r="I3700" s="199"/>
      <c r="J3700" s="199"/>
    </row>
    <row r="3701" spans="9:10" x14ac:dyDescent="0.25">
      <c r="I3701" s="199"/>
      <c r="J3701" s="199"/>
    </row>
    <row r="3702" spans="9:10" x14ac:dyDescent="0.25">
      <c r="I3702" s="199"/>
      <c r="J3702" s="199"/>
    </row>
    <row r="3703" spans="9:10" x14ac:dyDescent="0.25">
      <c r="I3703" s="199"/>
      <c r="J3703" s="199"/>
    </row>
    <row r="3704" spans="9:10" x14ac:dyDescent="0.25">
      <c r="I3704" s="199"/>
      <c r="J3704" s="199"/>
    </row>
    <row r="3705" spans="9:10" x14ac:dyDescent="0.25">
      <c r="I3705" s="199"/>
      <c r="J3705" s="199"/>
    </row>
    <row r="3706" spans="9:10" x14ac:dyDescent="0.25">
      <c r="I3706" s="199"/>
      <c r="J3706" s="199"/>
    </row>
    <row r="3707" spans="9:10" x14ac:dyDescent="0.25">
      <c r="I3707" s="199"/>
      <c r="J3707" s="199"/>
    </row>
    <row r="3708" spans="9:10" x14ac:dyDescent="0.25">
      <c r="I3708" s="199"/>
      <c r="J3708" s="199"/>
    </row>
    <row r="3709" spans="9:10" x14ac:dyDescent="0.25">
      <c r="I3709" s="199"/>
      <c r="J3709" s="199"/>
    </row>
    <row r="3710" spans="9:10" x14ac:dyDescent="0.25">
      <c r="I3710" s="199"/>
      <c r="J3710" s="199"/>
    </row>
    <row r="3711" spans="9:10" x14ac:dyDescent="0.25">
      <c r="I3711" s="199"/>
      <c r="J3711" s="199"/>
    </row>
    <row r="3712" spans="9:10" x14ac:dyDescent="0.25">
      <c r="I3712" s="199"/>
      <c r="J3712" s="199"/>
    </row>
    <row r="3713" spans="9:10" x14ac:dyDescent="0.25">
      <c r="I3713" s="199"/>
      <c r="J3713" s="199"/>
    </row>
    <row r="3714" spans="9:10" x14ac:dyDescent="0.25">
      <c r="I3714" s="199"/>
      <c r="J3714" s="199"/>
    </row>
    <row r="3715" spans="9:10" x14ac:dyDescent="0.25">
      <c r="I3715" s="199"/>
      <c r="J3715" s="199"/>
    </row>
    <row r="3716" spans="9:10" x14ac:dyDescent="0.25">
      <c r="I3716" s="199"/>
      <c r="J3716" s="199"/>
    </row>
    <row r="3717" spans="9:10" x14ac:dyDescent="0.25">
      <c r="I3717" s="199"/>
      <c r="J3717" s="199"/>
    </row>
    <row r="3718" spans="9:10" x14ac:dyDescent="0.25">
      <c r="I3718" s="199"/>
      <c r="J3718" s="199"/>
    </row>
    <row r="3719" spans="9:10" x14ac:dyDescent="0.25">
      <c r="I3719" s="199"/>
      <c r="J3719" s="199"/>
    </row>
    <row r="3720" spans="9:10" x14ac:dyDescent="0.25">
      <c r="I3720" s="199"/>
      <c r="J3720" s="199"/>
    </row>
    <row r="3721" spans="9:10" x14ac:dyDescent="0.25">
      <c r="I3721" s="199"/>
      <c r="J3721" s="199"/>
    </row>
    <row r="3722" spans="9:10" x14ac:dyDescent="0.25">
      <c r="I3722" s="199"/>
      <c r="J3722" s="199"/>
    </row>
    <row r="3723" spans="9:10" x14ac:dyDescent="0.25">
      <c r="I3723" s="199"/>
      <c r="J3723" s="199"/>
    </row>
    <row r="3724" spans="9:10" x14ac:dyDescent="0.25">
      <c r="I3724" s="199"/>
      <c r="J3724" s="199"/>
    </row>
    <row r="3725" spans="9:10" x14ac:dyDescent="0.25">
      <c r="I3725" s="199"/>
      <c r="J3725" s="199"/>
    </row>
    <row r="3726" spans="9:10" x14ac:dyDescent="0.25">
      <c r="I3726" s="199"/>
      <c r="J3726" s="199"/>
    </row>
    <row r="3727" spans="9:10" x14ac:dyDescent="0.25">
      <c r="I3727" s="199"/>
      <c r="J3727" s="199"/>
    </row>
    <row r="3728" spans="9:10" x14ac:dyDescent="0.25">
      <c r="I3728" s="199"/>
      <c r="J3728" s="199"/>
    </row>
    <row r="3729" spans="9:10" x14ac:dyDescent="0.25">
      <c r="I3729" s="199"/>
      <c r="J3729" s="199"/>
    </row>
    <row r="3730" spans="9:10" x14ac:dyDescent="0.25">
      <c r="I3730" s="199"/>
      <c r="J3730" s="199"/>
    </row>
    <row r="3731" spans="9:10" x14ac:dyDescent="0.25">
      <c r="I3731" s="199"/>
      <c r="J3731" s="199"/>
    </row>
    <row r="3732" spans="9:10" x14ac:dyDescent="0.25">
      <c r="I3732" s="199"/>
      <c r="J3732" s="199"/>
    </row>
    <row r="3733" spans="9:10" x14ac:dyDescent="0.25">
      <c r="I3733" s="199"/>
      <c r="J3733" s="199"/>
    </row>
    <row r="3734" spans="9:10" x14ac:dyDescent="0.25">
      <c r="I3734" s="199"/>
      <c r="J3734" s="199"/>
    </row>
    <row r="3735" spans="9:10" x14ac:dyDescent="0.25">
      <c r="I3735" s="199"/>
      <c r="J3735" s="199"/>
    </row>
    <row r="3736" spans="9:10" x14ac:dyDescent="0.25">
      <c r="I3736" s="199"/>
      <c r="J3736" s="199"/>
    </row>
    <row r="3737" spans="9:10" x14ac:dyDescent="0.25">
      <c r="I3737" s="199"/>
      <c r="J3737" s="199"/>
    </row>
    <row r="3738" spans="9:10" x14ac:dyDescent="0.25">
      <c r="I3738" s="199"/>
      <c r="J3738" s="199"/>
    </row>
    <row r="3739" spans="9:10" x14ac:dyDescent="0.25">
      <c r="I3739" s="199"/>
      <c r="J3739" s="199"/>
    </row>
    <row r="3740" spans="9:10" x14ac:dyDescent="0.25">
      <c r="I3740" s="199"/>
      <c r="J3740" s="199"/>
    </row>
    <row r="3741" spans="9:10" x14ac:dyDescent="0.25">
      <c r="I3741" s="199"/>
      <c r="J3741" s="199"/>
    </row>
    <row r="3742" spans="9:10" x14ac:dyDescent="0.25">
      <c r="I3742" s="199"/>
      <c r="J3742" s="199"/>
    </row>
    <row r="3743" spans="9:10" x14ac:dyDescent="0.25">
      <c r="I3743" s="199"/>
      <c r="J3743" s="199"/>
    </row>
    <row r="3744" spans="9:10" x14ac:dyDescent="0.25">
      <c r="I3744" s="199"/>
      <c r="J3744" s="199"/>
    </row>
    <row r="3745" spans="9:10" x14ac:dyDescent="0.25">
      <c r="I3745" s="199"/>
      <c r="J3745" s="199"/>
    </row>
    <row r="3746" spans="9:10" x14ac:dyDescent="0.25">
      <c r="I3746" s="199"/>
      <c r="J3746" s="199"/>
    </row>
    <row r="3747" spans="9:10" x14ac:dyDescent="0.25">
      <c r="I3747" s="199"/>
      <c r="J3747" s="199"/>
    </row>
    <row r="3748" spans="9:10" x14ac:dyDescent="0.25">
      <c r="I3748" s="199"/>
      <c r="J3748" s="199"/>
    </row>
    <row r="3749" spans="9:10" x14ac:dyDescent="0.25">
      <c r="I3749" s="199"/>
      <c r="J3749" s="199"/>
    </row>
    <row r="3750" spans="9:10" x14ac:dyDescent="0.25">
      <c r="I3750" s="199"/>
      <c r="J3750" s="199"/>
    </row>
    <row r="3751" spans="9:10" x14ac:dyDescent="0.25">
      <c r="I3751" s="199"/>
      <c r="J3751" s="199"/>
    </row>
    <row r="3752" spans="9:10" x14ac:dyDescent="0.25">
      <c r="I3752" s="199"/>
      <c r="J3752" s="199"/>
    </row>
    <row r="3753" spans="9:10" x14ac:dyDescent="0.25">
      <c r="I3753" s="199"/>
      <c r="J3753" s="199"/>
    </row>
    <row r="3754" spans="9:10" x14ac:dyDescent="0.25">
      <c r="I3754" s="199"/>
      <c r="J3754" s="199"/>
    </row>
    <row r="3755" spans="9:10" x14ac:dyDescent="0.25">
      <c r="I3755" s="199"/>
      <c r="J3755" s="199"/>
    </row>
    <row r="3756" spans="9:10" x14ac:dyDescent="0.25">
      <c r="I3756" s="199"/>
      <c r="J3756" s="199"/>
    </row>
    <row r="3757" spans="9:10" x14ac:dyDescent="0.25">
      <c r="I3757" s="199"/>
      <c r="J3757" s="199"/>
    </row>
    <row r="3758" spans="9:10" x14ac:dyDescent="0.25">
      <c r="I3758" s="199"/>
      <c r="J3758" s="199"/>
    </row>
    <row r="3759" spans="9:10" x14ac:dyDescent="0.25">
      <c r="I3759" s="199"/>
      <c r="J3759" s="199"/>
    </row>
    <row r="3760" spans="9:10" x14ac:dyDescent="0.25">
      <c r="I3760" s="199"/>
      <c r="J3760" s="199"/>
    </row>
    <row r="3761" spans="9:10" x14ac:dyDescent="0.25">
      <c r="I3761" s="199"/>
      <c r="J3761" s="199"/>
    </row>
    <row r="3762" spans="9:10" x14ac:dyDescent="0.25">
      <c r="I3762" s="199"/>
      <c r="J3762" s="199"/>
    </row>
    <row r="3763" spans="9:10" x14ac:dyDescent="0.25">
      <c r="I3763" s="199"/>
      <c r="J3763" s="199"/>
    </row>
    <row r="3764" spans="9:10" x14ac:dyDescent="0.25">
      <c r="I3764" s="199"/>
      <c r="J3764" s="199"/>
    </row>
    <row r="3765" spans="9:10" x14ac:dyDescent="0.25">
      <c r="I3765" s="199"/>
      <c r="J3765" s="199"/>
    </row>
    <row r="3766" spans="9:10" x14ac:dyDescent="0.25">
      <c r="I3766" s="199"/>
      <c r="J3766" s="199"/>
    </row>
    <row r="3767" spans="9:10" x14ac:dyDescent="0.25">
      <c r="I3767" s="199"/>
      <c r="J3767" s="199"/>
    </row>
    <row r="3768" spans="9:10" x14ac:dyDescent="0.25">
      <c r="I3768" s="199"/>
      <c r="J3768" s="199"/>
    </row>
    <row r="3769" spans="9:10" x14ac:dyDescent="0.25">
      <c r="I3769" s="199"/>
      <c r="J3769" s="199"/>
    </row>
    <row r="3770" spans="9:10" x14ac:dyDescent="0.25">
      <c r="I3770" s="199"/>
      <c r="J3770" s="199"/>
    </row>
    <row r="3771" spans="9:10" x14ac:dyDescent="0.25">
      <c r="I3771" s="199"/>
      <c r="J3771" s="199"/>
    </row>
    <row r="3772" spans="9:10" x14ac:dyDescent="0.25">
      <c r="I3772" s="199"/>
      <c r="J3772" s="199"/>
    </row>
    <row r="3773" spans="9:10" x14ac:dyDescent="0.25">
      <c r="I3773" s="199"/>
      <c r="J3773" s="199"/>
    </row>
    <row r="3774" spans="9:10" x14ac:dyDescent="0.25">
      <c r="I3774" s="199"/>
      <c r="J3774" s="199"/>
    </row>
    <row r="3775" spans="9:10" x14ac:dyDescent="0.25">
      <c r="I3775" s="199"/>
      <c r="J3775" s="199"/>
    </row>
    <row r="3776" spans="9:10" x14ac:dyDescent="0.25">
      <c r="I3776" s="199"/>
      <c r="J3776" s="199"/>
    </row>
    <row r="3777" spans="9:10" x14ac:dyDescent="0.25">
      <c r="I3777" s="199"/>
      <c r="J3777" s="199"/>
    </row>
    <row r="3778" spans="9:10" x14ac:dyDescent="0.25">
      <c r="I3778" s="199"/>
      <c r="J3778" s="199"/>
    </row>
    <row r="3779" spans="9:10" x14ac:dyDescent="0.25">
      <c r="I3779" s="199"/>
      <c r="J3779" s="199"/>
    </row>
    <row r="3780" spans="9:10" x14ac:dyDescent="0.25">
      <c r="I3780" s="199"/>
      <c r="J3780" s="199"/>
    </row>
    <row r="3781" spans="9:10" x14ac:dyDescent="0.25">
      <c r="I3781" s="199"/>
      <c r="J3781" s="199"/>
    </row>
    <row r="3782" spans="9:10" x14ac:dyDescent="0.25">
      <c r="I3782" s="199"/>
      <c r="J3782" s="199"/>
    </row>
    <row r="3783" spans="9:10" x14ac:dyDescent="0.25">
      <c r="I3783" s="199"/>
      <c r="J3783" s="199"/>
    </row>
    <row r="3784" spans="9:10" x14ac:dyDescent="0.25">
      <c r="I3784" s="199"/>
      <c r="J3784" s="199"/>
    </row>
    <row r="3785" spans="9:10" x14ac:dyDescent="0.25">
      <c r="I3785" s="199"/>
      <c r="J3785" s="199"/>
    </row>
    <row r="3786" spans="9:10" x14ac:dyDescent="0.25">
      <c r="I3786" s="199"/>
      <c r="J3786" s="199"/>
    </row>
    <row r="3787" spans="9:10" x14ac:dyDescent="0.25">
      <c r="I3787" s="199"/>
      <c r="J3787" s="199"/>
    </row>
    <row r="3788" spans="9:10" x14ac:dyDescent="0.25">
      <c r="I3788" s="199"/>
      <c r="J3788" s="199"/>
    </row>
    <row r="3789" spans="9:10" x14ac:dyDescent="0.25">
      <c r="I3789" s="199"/>
      <c r="J3789" s="199"/>
    </row>
    <row r="3790" spans="9:10" x14ac:dyDescent="0.25">
      <c r="I3790" s="199"/>
      <c r="J3790" s="199"/>
    </row>
    <row r="3791" spans="9:10" x14ac:dyDescent="0.25">
      <c r="I3791" s="199"/>
      <c r="J3791" s="199"/>
    </row>
    <row r="3792" spans="9:10" x14ac:dyDescent="0.25">
      <c r="I3792" s="199"/>
      <c r="J3792" s="199"/>
    </row>
    <row r="3793" spans="9:10" x14ac:dyDescent="0.25">
      <c r="I3793" s="199"/>
      <c r="J3793" s="199"/>
    </row>
    <row r="3794" spans="9:10" x14ac:dyDescent="0.25">
      <c r="I3794" s="199"/>
      <c r="J3794" s="199"/>
    </row>
    <row r="3795" spans="9:10" x14ac:dyDescent="0.25">
      <c r="I3795" s="199"/>
      <c r="J3795" s="199"/>
    </row>
    <row r="3796" spans="9:10" x14ac:dyDescent="0.25">
      <c r="I3796" s="199"/>
      <c r="J3796" s="199"/>
    </row>
    <row r="3797" spans="9:10" x14ac:dyDescent="0.25">
      <c r="I3797" s="199"/>
      <c r="J3797" s="199"/>
    </row>
    <row r="3798" spans="9:10" x14ac:dyDescent="0.25">
      <c r="I3798" s="199"/>
      <c r="J3798" s="199"/>
    </row>
    <row r="3799" spans="9:10" x14ac:dyDescent="0.25">
      <c r="I3799" s="199"/>
      <c r="J3799" s="199"/>
    </row>
    <row r="3800" spans="9:10" x14ac:dyDescent="0.25">
      <c r="I3800" s="199"/>
      <c r="J3800" s="199"/>
    </row>
    <row r="3801" spans="9:10" x14ac:dyDescent="0.25">
      <c r="I3801" s="199"/>
      <c r="J3801" s="199"/>
    </row>
    <row r="3802" spans="9:10" x14ac:dyDescent="0.25">
      <c r="I3802" s="199"/>
      <c r="J3802" s="199"/>
    </row>
    <row r="3803" spans="9:10" x14ac:dyDescent="0.25">
      <c r="I3803" s="199"/>
      <c r="J3803" s="199"/>
    </row>
    <row r="3804" spans="9:10" x14ac:dyDescent="0.25">
      <c r="I3804" s="199"/>
      <c r="J3804" s="199"/>
    </row>
    <row r="3805" spans="9:10" x14ac:dyDescent="0.25">
      <c r="I3805" s="199"/>
      <c r="J3805" s="199"/>
    </row>
    <row r="3806" spans="9:10" x14ac:dyDescent="0.25">
      <c r="I3806" s="199"/>
      <c r="J3806" s="199"/>
    </row>
    <row r="3807" spans="9:10" x14ac:dyDescent="0.25">
      <c r="I3807" s="199"/>
      <c r="J3807" s="199"/>
    </row>
    <row r="3808" spans="9:10" x14ac:dyDescent="0.25">
      <c r="I3808" s="199"/>
      <c r="J3808" s="199"/>
    </row>
    <row r="3809" spans="9:10" x14ac:dyDescent="0.25">
      <c r="I3809" s="199"/>
      <c r="J3809" s="199"/>
    </row>
    <row r="3810" spans="9:10" x14ac:dyDescent="0.25">
      <c r="I3810" s="199"/>
      <c r="J3810" s="199"/>
    </row>
    <row r="3811" spans="9:10" x14ac:dyDescent="0.25">
      <c r="I3811" s="199"/>
      <c r="J3811" s="199"/>
    </row>
    <row r="3812" spans="9:10" x14ac:dyDescent="0.25">
      <c r="I3812" s="199"/>
      <c r="J3812" s="199"/>
    </row>
    <row r="3813" spans="9:10" x14ac:dyDescent="0.25">
      <c r="I3813" s="199"/>
      <c r="J3813" s="199"/>
    </row>
    <row r="3814" spans="9:10" x14ac:dyDescent="0.25">
      <c r="I3814" s="199"/>
      <c r="J3814" s="199"/>
    </row>
    <row r="3815" spans="9:10" x14ac:dyDescent="0.25">
      <c r="I3815" s="199"/>
      <c r="J3815" s="199"/>
    </row>
    <row r="3816" spans="9:10" x14ac:dyDescent="0.25">
      <c r="I3816" s="199"/>
      <c r="J3816" s="199"/>
    </row>
    <row r="3817" spans="9:10" x14ac:dyDescent="0.25">
      <c r="I3817" s="199"/>
      <c r="J3817" s="199"/>
    </row>
    <row r="3818" spans="9:10" x14ac:dyDescent="0.25">
      <c r="I3818" s="199"/>
      <c r="J3818" s="199"/>
    </row>
    <row r="3819" spans="9:10" x14ac:dyDescent="0.25">
      <c r="I3819" s="199"/>
      <c r="J3819" s="199"/>
    </row>
    <row r="3820" spans="9:10" x14ac:dyDescent="0.25">
      <c r="I3820" s="199"/>
      <c r="J3820" s="199"/>
    </row>
    <row r="3821" spans="9:10" x14ac:dyDescent="0.25">
      <c r="I3821" s="199"/>
      <c r="J3821" s="199"/>
    </row>
    <row r="3822" spans="9:10" x14ac:dyDescent="0.25">
      <c r="I3822" s="199"/>
      <c r="J3822" s="199"/>
    </row>
    <row r="3823" spans="9:10" x14ac:dyDescent="0.25">
      <c r="I3823" s="199"/>
      <c r="J3823" s="199"/>
    </row>
    <row r="3824" spans="9:10" x14ac:dyDescent="0.25">
      <c r="I3824" s="199"/>
      <c r="J3824" s="199"/>
    </row>
    <row r="3825" spans="9:10" x14ac:dyDescent="0.25">
      <c r="I3825" s="199"/>
      <c r="J3825" s="199"/>
    </row>
    <row r="3826" spans="9:10" x14ac:dyDescent="0.25">
      <c r="I3826" s="199"/>
      <c r="J3826" s="199"/>
    </row>
    <row r="3827" spans="9:10" x14ac:dyDescent="0.25">
      <c r="I3827" s="199"/>
      <c r="J3827" s="199"/>
    </row>
    <row r="3828" spans="9:10" x14ac:dyDescent="0.25">
      <c r="I3828" s="199"/>
      <c r="J3828" s="199"/>
    </row>
    <row r="3829" spans="9:10" x14ac:dyDescent="0.25">
      <c r="I3829" s="199"/>
      <c r="J3829" s="199"/>
    </row>
    <row r="3830" spans="9:10" x14ac:dyDescent="0.25">
      <c r="I3830" s="199"/>
      <c r="J3830" s="199"/>
    </row>
    <row r="3831" spans="9:10" x14ac:dyDescent="0.25">
      <c r="I3831" s="199"/>
      <c r="J3831" s="199"/>
    </row>
    <row r="3832" spans="9:10" x14ac:dyDescent="0.25">
      <c r="I3832" s="199"/>
      <c r="J3832" s="199"/>
    </row>
    <row r="3833" spans="9:10" x14ac:dyDescent="0.25">
      <c r="I3833" s="199"/>
      <c r="J3833" s="199"/>
    </row>
    <row r="3834" spans="9:10" x14ac:dyDescent="0.25">
      <c r="I3834" s="199"/>
      <c r="J3834" s="199"/>
    </row>
    <row r="3835" spans="9:10" x14ac:dyDescent="0.25">
      <c r="I3835" s="199"/>
      <c r="J3835" s="199"/>
    </row>
    <row r="3836" spans="9:10" x14ac:dyDescent="0.25">
      <c r="I3836" s="199"/>
      <c r="J3836" s="199"/>
    </row>
    <row r="3837" spans="9:10" x14ac:dyDescent="0.25">
      <c r="I3837" s="199"/>
      <c r="J3837" s="199"/>
    </row>
    <row r="3838" spans="9:10" x14ac:dyDescent="0.25">
      <c r="I3838" s="199"/>
      <c r="J3838" s="199"/>
    </row>
    <row r="3839" spans="9:10" x14ac:dyDescent="0.25">
      <c r="I3839" s="199"/>
      <c r="J3839" s="199"/>
    </row>
    <row r="3840" spans="9:10" x14ac:dyDescent="0.25">
      <c r="I3840" s="199"/>
      <c r="J3840" s="199"/>
    </row>
    <row r="3841" spans="9:10" x14ac:dyDescent="0.25">
      <c r="I3841" s="199"/>
      <c r="J3841" s="199"/>
    </row>
    <row r="3842" spans="9:10" x14ac:dyDescent="0.25">
      <c r="I3842" s="199"/>
      <c r="J3842" s="199"/>
    </row>
    <row r="3843" spans="9:10" x14ac:dyDescent="0.25">
      <c r="I3843" s="199"/>
      <c r="J3843" s="199"/>
    </row>
    <row r="3844" spans="9:10" x14ac:dyDescent="0.25">
      <c r="I3844" s="199"/>
      <c r="J3844" s="199"/>
    </row>
    <row r="3845" spans="9:10" x14ac:dyDescent="0.25">
      <c r="I3845" s="199"/>
      <c r="J3845" s="199"/>
    </row>
    <row r="3846" spans="9:10" x14ac:dyDescent="0.25">
      <c r="I3846" s="199"/>
      <c r="J3846" s="199"/>
    </row>
    <row r="3847" spans="9:10" x14ac:dyDescent="0.25">
      <c r="I3847" s="199"/>
      <c r="J3847" s="199"/>
    </row>
    <row r="3848" spans="9:10" x14ac:dyDescent="0.25">
      <c r="I3848" s="199"/>
      <c r="J3848" s="199"/>
    </row>
    <row r="3849" spans="9:10" x14ac:dyDescent="0.25">
      <c r="I3849" s="199"/>
      <c r="J3849" s="199"/>
    </row>
    <row r="3850" spans="9:10" x14ac:dyDescent="0.25">
      <c r="I3850" s="199"/>
      <c r="J3850" s="199"/>
    </row>
    <row r="3851" spans="9:10" x14ac:dyDescent="0.25">
      <c r="I3851" s="199"/>
      <c r="J3851" s="199"/>
    </row>
    <row r="3852" spans="9:10" x14ac:dyDescent="0.25">
      <c r="I3852" s="199"/>
      <c r="J3852" s="199"/>
    </row>
    <row r="3853" spans="9:10" x14ac:dyDescent="0.25">
      <c r="I3853" s="199"/>
      <c r="J3853" s="199"/>
    </row>
    <row r="3854" spans="9:10" x14ac:dyDescent="0.25">
      <c r="I3854" s="199"/>
      <c r="J3854" s="199"/>
    </row>
    <row r="3855" spans="9:10" x14ac:dyDescent="0.25">
      <c r="I3855" s="199"/>
      <c r="J3855" s="199"/>
    </row>
    <row r="3856" spans="9:10" x14ac:dyDescent="0.25">
      <c r="I3856" s="199"/>
      <c r="J3856" s="199"/>
    </row>
    <row r="3857" spans="9:10" x14ac:dyDescent="0.25">
      <c r="I3857" s="199"/>
      <c r="J3857" s="199"/>
    </row>
    <row r="3858" spans="9:10" x14ac:dyDescent="0.25">
      <c r="I3858" s="199"/>
      <c r="J3858" s="199"/>
    </row>
    <row r="3859" spans="9:10" x14ac:dyDescent="0.25">
      <c r="I3859" s="199"/>
      <c r="J3859" s="199"/>
    </row>
    <row r="3860" spans="9:10" x14ac:dyDescent="0.25">
      <c r="I3860" s="199"/>
      <c r="J3860" s="199"/>
    </row>
    <row r="3861" spans="9:10" x14ac:dyDescent="0.25">
      <c r="I3861" s="199"/>
      <c r="J3861" s="199"/>
    </row>
    <row r="3862" spans="9:10" x14ac:dyDescent="0.25">
      <c r="I3862" s="199"/>
      <c r="J3862" s="199"/>
    </row>
    <row r="3863" spans="9:10" x14ac:dyDescent="0.25">
      <c r="I3863" s="199"/>
      <c r="J3863" s="199"/>
    </row>
    <row r="3864" spans="9:10" x14ac:dyDescent="0.25">
      <c r="I3864" s="199"/>
      <c r="J3864" s="199"/>
    </row>
    <row r="3865" spans="9:10" x14ac:dyDescent="0.25">
      <c r="I3865" s="199"/>
      <c r="J3865" s="199"/>
    </row>
    <row r="3866" spans="9:10" x14ac:dyDescent="0.25">
      <c r="I3866" s="199"/>
      <c r="J3866" s="199"/>
    </row>
    <row r="3867" spans="9:10" x14ac:dyDescent="0.25">
      <c r="I3867" s="199"/>
      <c r="J3867" s="199"/>
    </row>
    <row r="3868" spans="9:10" x14ac:dyDescent="0.25">
      <c r="I3868" s="199"/>
      <c r="J3868" s="199"/>
    </row>
    <row r="3869" spans="9:10" x14ac:dyDescent="0.25">
      <c r="I3869" s="199"/>
      <c r="J3869" s="199"/>
    </row>
    <row r="3870" spans="9:10" x14ac:dyDescent="0.25">
      <c r="I3870" s="199"/>
      <c r="J3870" s="199"/>
    </row>
    <row r="3871" spans="9:10" x14ac:dyDescent="0.25">
      <c r="I3871" s="199"/>
      <c r="J3871" s="199"/>
    </row>
    <row r="3872" spans="9:10" x14ac:dyDescent="0.25">
      <c r="I3872" s="199"/>
      <c r="J3872" s="199"/>
    </row>
    <row r="3873" spans="9:10" x14ac:dyDescent="0.25">
      <c r="I3873" s="199"/>
      <c r="J3873" s="199"/>
    </row>
    <row r="3874" spans="9:10" x14ac:dyDescent="0.25">
      <c r="I3874" s="199"/>
      <c r="J3874" s="199"/>
    </row>
    <row r="3875" spans="9:10" x14ac:dyDescent="0.25">
      <c r="I3875" s="199"/>
      <c r="J3875" s="199"/>
    </row>
    <row r="3876" spans="9:10" x14ac:dyDescent="0.25">
      <c r="I3876" s="199"/>
      <c r="J3876" s="199"/>
    </row>
    <row r="3877" spans="9:10" x14ac:dyDescent="0.25">
      <c r="I3877" s="199"/>
      <c r="J3877" s="199"/>
    </row>
    <row r="3878" spans="9:10" x14ac:dyDescent="0.25">
      <c r="I3878" s="199"/>
      <c r="J3878" s="199"/>
    </row>
    <row r="3879" spans="9:10" x14ac:dyDescent="0.25">
      <c r="I3879" s="199"/>
      <c r="J3879" s="199"/>
    </row>
    <row r="3880" spans="9:10" x14ac:dyDescent="0.25">
      <c r="I3880" s="199"/>
      <c r="J3880" s="199"/>
    </row>
    <row r="3881" spans="9:10" x14ac:dyDescent="0.25">
      <c r="I3881" s="199"/>
      <c r="J3881" s="199"/>
    </row>
    <row r="3882" spans="9:10" x14ac:dyDescent="0.25">
      <c r="I3882" s="199"/>
      <c r="J3882" s="199"/>
    </row>
    <row r="3883" spans="9:10" x14ac:dyDescent="0.25">
      <c r="I3883" s="199"/>
      <c r="J3883" s="199"/>
    </row>
    <row r="3884" spans="9:10" x14ac:dyDescent="0.25">
      <c r="I3884" s="199"/>
      <c r="J3884" s="199"/>
    </row>
    <row r="3885" spans="9:10" x14ac:dyDescent="0.25">
      <c r="I3885" s="199"/>
      <c r="J3885" s="199"/>
    </row>
    <row r="3886" spans="9:10" x14ac:dyDescent="0.25">
      <c r="I3886" s="199"/>
      <c r="J3886" s="199"/>
    </row>
    <row r="3887" spans="9:10" x14ac:dyDescent="0.25">
      <c r="I3887" s="199"/>
      <c r="J3887" s="199"/>
    </row>
    <row r="3888" spans="9:10" x14ac:dyDescent="0.25">
      <c r="I3888" s="199"/>
      <c r="J3888" s="199"/>
    </row>
    <row r="3889" spans="9:10" x14ac:dyDescent="0.25">
      <c r="I3889" s="199"/>
      <c r="J3889" s="199"/>
    </row>
    <row r="3890" spans="9:10" x14ac:dyDescent="0.25">
      <c r="I3890" s="199"/>
      <c r="J3890" s="199"/>
    </row>
    <row r="3891" spans="9:10" x14ac:dyDescent="0.25">
      <c r="I3891" s="199"/>
      <c r="J3891" s="199"/>
    </row>
    <row r="3892" spans="9:10" x14ac:dyDescent="0.25">
      <c r="I3892" s="199"/>
      <c r="J3892" s="199"/>
    </row>
    <row r="3893" spans="9:10" x14ac:dyDescent="0.25">
      <c r="I3893" s="199"/>
      <c r="J3893" s="199"/>
    </row>
    <row r="3894" spans="9:10" x14ac:dyDescent="0.25">
      <c r="I3894" s="199"/>
      <c r="J3894" s="199"/>
    </row>
    <row r="3895" spans="9:10" x14ac:dyDescent="0.25">
      <c r="I3895" s="199"/>
      <c r="J3895" s="199"/>
    </row>
    <row r="3896" spans="9:10" x14ac:dyDescent="0.25">
      <c r="I3896" s="199"/>
      <c r="J3896" s="199"/>
    </row>
    <row r="3897" spans="9:10" x14ac:dyDescent="0.25">
      <c r="I3897" s="199"/>
      <c r="J3897" s="199"/>
    </row>
    <row r="3898" spans="9:10" x14ac:dyDescent="0.25">
      <c r="I3898" s="199"/>
      <c r="J3898" s="199"/>
    </row>
    <row r="3899" spans="9:10" x14ac:dyDescent="0.25">
      <c r="I3899" s="199"/>
      <c r="J3899" s="199"/>
    </row>
    <row r="3900" spans="9:10" x14ac:dyDescent="0.25">
      <c r="I3900" s="199"/>
      <c r="J3900" s="199"/>
    </row>
    <row r="3901" spans="9:10" x14ac:dyDescent="0.25">
      <c r="I3901" s="199"/>
      <c r="J3901" s="199"/>
    </row>
    <row r="3902" spans="9:10" x14ac:dyDescent="0.25">
      <c r="I3902" s="199"/>
      <c r="J3902" s="199"/>
    </row>
    <row r="3903" spans="9:10" x14ac:dyDescent="0.25">
      <c r="I3903" s="199"/>
      <c r="J3903" s="199"/>
    </row>
    <row r="3904" spans="9:10" x14ac:dyDescent="0.25">
      <c r="I3904" s="199"/>
      <c r="J3904" s="199"/>
    </row>
    <row r="3905" spans="9:10" x14ac:dyDescent="0.25">
      <c r="I3905" s="199"/>
      <c r="J3905" s="199"/>
    </row>
    <row r="3906" spans="9:10" x14ac:dyDescent="0.25">
      <c r="I3906" s="199"/>
      <c r="J3906" s="199"/>
    </row>
    <row r="3907" spans="9:10" x14ac:dyDescent="0.25">
      <c r="I3907" s="199"/>
      <c r="J3907" s="199"/>
    </row>
    <row r="3908" spans="9:10" x14ac:dyDescent="0.25">
      <c r="I3908" s="199"/>
      <c r="J3908" s="199"/>
    </row>
    <row r="3909" spans="9:10" x14ac:dyDescent="0.25">
      <c r="I3909" s="199"/>
      <c r="J3909" s="199"/>
    </row>
    <row r="3910" spans="9:10" x14ac:dyDescent="0.25">
      <c r="I3910" s="199"/>
      <c r="J3910" s="199"/>
    </row>
    <row r="3911" spans="9:10" x14ac:dyDescent="0.25">
      <c r="I3911" s="199"/>
      <c r="J3911" s="199"/>
    </row>
    <row r="3912" spans="9:10" x14ac:dyDescent="0.25">
      <c r="I3912" s="199"/>
      <c r="J3912" s="199"/>
    </row>
    <row r="3913" spans="9:10" x14ac:dyDescent="0.25">
      <c r="I3913" s="199"/>
      <c r="J3913" s="199"/>
    </row>
    <row r="3914" spans="9:10" x14ac:dyDescent="0.25">
      <c r="I3914" s="199"/>
      <c r="J3914" s="199"/>
    </row>
    <row r="3915" spans="9:10" x14ac:dyDescent="0.25">
      <c r="I3915" s="199"/>
      <c r="J3915" s="199"/>
    </row>
    <row r="3916" spans="9:10" x14ac:dyDescent="0.25">
      <c r="I3916" s="199"/>
      <c r="J3916" s="199"/>
    </row>
    <row r="3917" spans="9:10" x14ac:dyDescent="0.25">
      <c r="I3917" s="199"/>
      <c r="J3917" s="199"/>
    </row>
    <row r="3918" spans="9:10" x14ac:dyDescent="0.25">
      <c r="I3918" s="199"/>
      <c r="J3918" s="199"/>
    </row>
    <row r="3919" spans="9:10" x14ac:dyDescent="0.25">
      <c r="I3919" s="199"/>
      <c r="J3919" s="199"/>
    </row>
    <row r="3920" spans="9:10" x14ac:dyDescent="0.25">
      <c r="I3920" s="199"/>
      <c r="J3920" s="199"/>
    </row>
    <row r="3921" spans="9:10" x14ac:dyDescent="0.25">
      <c r="I3921" s="199"/>
      <c r="J3921" s="199"/>
    </row>
    <row r="3922" spans="9:10" x14ac:dyDescent="0.25">
      <c r="I3922" s="199"/>
      <c r="J3922" s="199"/>
    </row>
    <row r="3923" spans="9:10" x14ac:dyDescent="0.25">
      <c r="I3923" s="199"/>
      <c r="J3923" s="199"/>
    </row>
    <row r="3924" spans="9:10" x14ac:dyDescent="0.25">
      <c r="I3924" s="199"/>
      <c r="J3924" s="199"/>
    </row>
    <row r="3925" spans="9:10" x14ac:dyDescent="0.25">
      <c r="I3925" s="199"/>
      <c r="J3925" s="199"/>
    </row>
    <row r="3926" spans="9:10" x14ac:dyDescent="0.25">
      <c r="I3926" s="199"/>
      <c r="J3926" s="199"/>
    </row>
    <row r="3927" spans="9:10" x14ac:dyDescent="0.25">
      <c r="I3927" s="199"/>
      <c r="J3927" s="199"/>
    </row>
    <row r="3928" spans="9:10" x14ac:dyDescent="0.25">
      <c r="I3928" s="199"/>
      <c r="J3928" s="199"/>
    </row>
    <row r="3929" spans="9:10" x14ac:dyDescent="0.25">
      <c r="I3929" s="199"/>
      <c r="J3929" s="199"/>
    </row>
    <row r="3930" spans="9:10" x14ac:dyDescent="0.25">
      <c r="I3930" s="199"/>
      <c r="J3930" s="199"/>
    </row>
    <row r="3931" spans="9:10" x14ac:dyDescent="0.25">
      <c r="I3931" s="199"/>
      <c r="J3931" s="199"/>
    </row>
    <row r="3932" spans="9:10" x14ac:dyDescent="0.25">
      <c r="I3932" s="199"/>
      <c r="J3932" s="199"/>
    </row>
    <row r="3933" spans="9:10" x14ac:dyDescent="0.25">
      <c r="I3933" s="199"/>
      <c r="J3933" s="199"/>
    </row>
    <row r="3934" spans="9:10" x14ac:dyDescent="0.25">
      <c r="I3934" s="199"/>
      <c r="J3934" s="199"/>
    </row>
    <row r="3935" spans="9:10" x14ac:dyDescent="0.25">
      <c r="I3935" s="199"/>
      <c r="J3935" s="199"/>
    </row>
    <row r="3936" spans="9:10" x14ac:dyDescent="0.25">
      <c r="I3936" s="199"/>
      <c r="J3936" s="199"/>
    </row>
    <row r="3937" spans="9:10" x14ac:dyDescent="0.25">
      <c r="I3937" s="199"/>
      <c r="J3937" s="199"/>
    </row>
    <row r="3938" spans="9:10" x14ac:dyDescent="0.25">
      <c r="I3938" s="199"/>
      <c r="J3938" s="199"/>
    </row>
    <row r="3939" spans="9:10" x14ac:dyDescent="0.25">
      <c r="I3939" s="199"/>
      <c r="J3939" s="199"/>
    </row>
    <row r="3940" spans="9:10" x14ac:dyDescent="0.25">
      <c r="I3940" s="199"/>
      <c r="J3940" s="199"/>
    </row>
    <row r="3941" spans="9:10" x14ac:dyDescent="0.25">
      <c r="I3941" s="199"/>
      <c r="J3941" s="199"/>
    </row>
    <row r="3942" spans="9:10" x14ac:dyDescent="0.25">
      <c r="I3942" s="199"/>
      <c r="J3942" s="199"/>
    </row>
    <row r="3943" spans="9:10" x14ac:dyDescent="0.25">
      <c r="I3943" s="199"/>
      <c r="J3943" s="199"/>
    </row>
    <row r="3944" spans="9:10" x14ac:dyDescent="0.25">
      <c r="I3944" s="199"/>
      <c r="J3944" s="199"/>
    </row>
    <row r="3945" spans="9:10" x14ac:dyDescent="0.25">
      <c r="I3945" s="199"/>
      <c r="J3945" s="199"/>
    </row>
    <row r="3946" spans="9:10" x14ac:dyDescent="0.25">
      <c r="I3946" s="199"/>
      <c r="J3946" s="199"/>
    </row>
    <row r="3947" spans="9:10" x14ac:dyDescent="0.25">
      <c r="I3947" s="199"/>
      <c r="J3947" s="199"/>
    </row>
    <row r="3948" spans="9:10" x14ac:dyDescent="0.25">
      <c r="I3948" s="199"/>
      <c r="J3948" s="199"/>
    </row>
    <row r="3949" spans="9:10" x14ac:dyDescent="0.25">
      <c r="I3949" s="199"/>
      <c r="J3949" s="199"/>
    </row>
    <row r="3950" spans="9:10" x14ac:dyDescent="0.25">
      <c r="I3950" s="199"/>
      <c r="J3950" s="199"/>
    </row>
    <row r="3951" spans="9:10" x14ac:dyDescent="0.25">
      <c r="I3951" s="199"/>
      <c r="J3951" s="199"/>
    </row>
    <row r="3952" spans="9:10" x14ac:dyDescent="0.25">
      <c r="I3952" s="199"/>
      <c r="J3952" s="199"/>
    </row>
    <row r="3953" spans="9:10" x14ac:dyDescent="0.25">
      <c r="I3953" s="199"/>
      <c r="J3953" s="199"/>
    </row>
    <row r="3954" spans="9:10" x14ac:dyDescent="0.25">
      <c r="I3954" s="199"/>
      <c r="J3954" s="199"/>
    </row>
    <row r="3955" spans="9:10" x14ac:dyDescent="0.25">
      <c r="I3955" s="199"/>
      <c r="J3955" s="199"/>
    </row>
    <row r="3956" spans="9:10" x14ac:dyDescent="0.25">
      <c r="I3956" s="199"/>
      <c r="J3956" s="199"/>
    </row>
    <row r="3957" spans="9:10" x14ac:dyDescent="0.25">
      <c r="I3957" s="199"/>
      <c r="J3957" s="199"/>
    </row>
    <row r="3958" spans="9:10" x14ac:dyDescent="0.25">
      <c r="I3958" s="199"/>
      <c r="J3958" s="199"/>
    </row>
    <row r="3959" spans="9:10" x14ac:dyDescent="0.25">
      <c r="I3959" s="199"/>
      <c r="J3959" s="199"/>
    </row>
    <row r="3960" spans="9:10" x14ac:dyDescent="0.25">
      <c r="I3960" s="199"/>
      <c r="J3960" s="199"/>
    </row>
    <row r="3961" spans="9:10" x14ac:dyDescent="0.25">
      <c r="I3961" s="199"/>
      <c r="J3961" s="199"/>
    </row>
    <row r="3962" spans="9:10" x14ac:dyDescent="0.25">
      <c r="I3962" s="199"/>
      <c r="J3962" s="199"/>
    </row>
    <row r="3963" spans="9:10" x14ac:dyDescent="0.25">
      <c r="I3963" s="199"/>
      <c r="J3963" s="199"/>
    </row>
    <row r="3964" spans="9:10" x14ac:dyDescent="0.25">
      <c r="I3964" s="199"/>
      <c r="J3964" s="199"/>
    </row>
    <row r="3965" spans="9:10" x14ac:dyDescent="0.25">
      <c r="I3965" s="199"/>
      <c r="J3965" s="199"/>
    </row>
    <row r="3966" spans="9:10" x14ac:dyDescent="0.25">
      <c r="I3966" s="199"/>
      <c r="J3966" s="199"/>
    </row>
    <row r="3967" spans="9:10" x14ac:dyDescent="0.25">
      <c r="I3967" s="199"/>
      <c r="J3967" s="199"/>
    </row>
    <row r="3968" spans="9:10" x14ac:dyDescent="0.25">
      <c r="I3968" s="199"/>
      <c r="J3968" s="199"/>
    </row>
    <row r="3969" spans="9:10" x14ac:dyDescent="0.25">
      <c r="I3969" s="199"/>
      <c r="J3969" s="199"/>
    </row>
    <row r="3970" spans="9:10" x14ac:dyDescent="0.25">
      <c r="I3970" s="199"/>
      <c r="J3970" s="199"/>
    </row>
    <row r="3971" spans="9:10" x14ac:dyDescent="0.25">
      <c r="I3971" s="199"/>
      <c r="J3971" s="199"/>
    </row>
    <row r="3972" spans="9:10" x14ac:dyDescent="0.25">
      <c r="I3972" s="199"/>
      <c r="J3972" s="199"/>
    </row>
    <row r="3973" spans="9:10" x14ac:dyDescent="0.25">
      <c r="I3973" s="199"/>
      <c r="J3973" s="199"/>
    </row>
    <row r="3974" spans="9:10" x14ac:dyDescent="0.25">
      <c r="I3974" s="199"/>
      <c r="J3974" s="199"/>
    </row>
    <row r="3975" spans="9:10" x14ac:dyDescent="0.25">
      <c r="I3975" s="199"/>
      <c r="J3975" s="199"/>
    </row>
    <row r="3976" spans="9:10" x14ac:dyDescent="0.25">
      <c r="I3976" s="199"/>
      <c r="J3976" s="199"/>
    </row>
    <row r="3977" spans="9:10" x14ac:dyDescent="0.25">
      <c r="I3977" s="199"/>
      <c r="J3977" s="199"/>
    </row>
    <row r="3978" spans="9:10" x14ac:dyDescent="0.25">
      <c r="I3978" s="199"/>
      <c r="J3978" s="199"/>
    </row>
    <row r="3979" spans="9:10" x14ac:dyDescent="0.25">
      <c r="I3979" s="199"/>
      <c r="J3979" s="199"/>
    </row>
    <row r="3980" spans="9:10" x14ac:dyDescent="0.25">
      <c r="I3980" s="199"/>
      <c r="J3980" s="199"/>
    </row>
    <row r="3981" spans="9:10" x14ac:dyDescent="0.25">
      <c r="I3981" s="199"/>
      <c r="J3981" s="199"/>
    </row>
    <row r="3982" spans="9:10" x14ac:dyDescent="0.25">
      <c r="I3982" s="199"/>
      <c r="J3982" s="199"/>
    </row>
    <row r="3983" spans="9:10" x14ac:dyDescent="0.25">
      <c r="I3983" s="199"/>
      <c r="J3983" s="199"/>
    </row>
    <row r="3984" spans="9:10" x14ac:dyDescent="0.25">
      <c r="I3984" s="199"/>
      <c r="J3984" s="199"/>
    </row>
    <row r="3985" spans="9:10" x14ac:dyDescent="0.25">
      <c r="I3985" s="199"/>
      <c r="J3985" s="199"/>
    </row>
    <row r="3986" spans="9:10" x14ac:dyDescent="0.25">
      <c r="I3986" s="199"/>
      <c r="J3986" s="199"/>
    </row>
    <row r="3987" spans="9:10" x14ac:dyDescent="0.25">
      <c r="I3987" s="199"/>
      <c r="J3987" s="199"/>
    </row>
    <row r="3988" spans="9:10" x14ac:dyDescent="0.25">
      <c r="I3988" s="199"/>
      <c r="J3988" s="199"/>
    </row>
    <row r="3989" spans="9:10" x14ac:dyDescent="0.25">
      <c r="I3989" s="199"/>
      <c r="J3989" s="199"/>
    </row>
    <row r="3990" spans="9:10" x14ac:dyDescent="0.25">
      <c r="I3990" s="199"/>
      <c r="J3990" s="199"/>
    </row>
    <row r="3991" spans="9:10" x14ac:dyDescent="0.25">
      <c r="I3991" s="199"/>
      <c r="J3991" s="199"/>
    </row>
    <row r="3992" spans="9:10" x14ac:dyDescent="0.25">
      <c r="I3992" s="199"/>
      <c r="J3992" s="199"/>
    </row>
    <row r="3993" spans="9:10" x14ac:dyDescent="0.25">
      <c r="I3993" s="199"/>
      <c r="J3993" s="199"/>
    </row>
    <row r="3994" spans="9:10" x14ac:dyDescent="0.25">
      <c r="I3994" s="199"/>
      <c r="J3994" s="199"/>
    </row>
    <row r="3995" spans="9:10" x14ac:dyDescent="0.25">
      <c r="I3995" s="199"/>
      <c r="J3995" s="199"/>
    </row>
    <row r="3996" spans="9:10" x14ac:dyDescent="0.25">
      <c r="I3996" s="199"/>
      <c r="J3996" s="199"/>
    </row>
    <row r="3997" spans="9:10" x14ac:dyDescent="0.25">
      <c r="I3997" s="199"/>
      <c r="J3997" s="199"/>
    </row>
    <row r="3998" spans="9:10" x14ac:dyDescent="0.25">
      <c r="I3998" s="199"/>
      <c r="J3998" s="199"/>
    </row>
    <row r="3999" spans="9:10" x14ac:dyDescent="0.25">
      <c r="I3999" s="199"/>
      <c r="J3999" s="199"/>
    </row>
    <row r="4000" spans="9:10" x14ac:dyDescent="0.25">
      <c r="I4000" s="199"/>
      <c r="J4000" s="199"/>
    </row>
    <row r="4001" spans="9:10" x14ac:dyDescent="0.25">
      <c r="I4001" s="199"/>
      <c r="J4001" s="199"/>
    </row>
    <row r="4002" spans="9:10" x14ac:dyDescent="0.25">
      <c r="I4002" s="199"/>
      <c r="J4002" s="199"/>
    </row>
    <row r="4003" spans="9:10" x14ac:dyDescent="0.25">
      <c r="I4003" s="199"/>
      <c r="J4003" s="199"/>
    </row>
    <row r="4004" spans="9:10" x14ac:dyDescent="0.25">
      <c r="I4004" s="199"/>
      <c r="J4004" s="199"/>
    </row>
    <row r="4005" spans="9:10" x14ac:dyDescent="0.25">
      <c r="I4005" s="199"/>
      <c r="J4005" s="199"/>
    </row>
    <row r="4006" spans="9:10" x14ac:dyDescent="0.25">
      <c r="I4006" s="199"/>
      <c r="J4006" s="199"/>
    </row>
    <row r="4007" spans="9:10" x14ac:dyDescent="0.25">
      <c r="I4007" s="199"/>
      <c r="J4007" s="199"/>
    </row>
    <row r="4008" spans="9:10" x14ac:dyDescent="0.25">
      <c r="I4008" s="199"/>
      <c r="J4008" s="199"/>
    </row>
    <row r="4009" spans="9:10" x14ac:dyDescent="0.25">
      <c r="I4009" s="199"/>
      <c r="J4009" s="199"/>
    </row>
    <row r="4010" spans="9:10" x14ac:dyDescent="0.25">
      <c r="I4010" s="199"/>
      <c r="J4010" s="199"/>
    </row>
    <row r="4011" spans="9:10" x14ac:dyDescent="0.25">
      <c r="I4011" s="199"/>
      <c r="J4011" s="199"/>
    </row>
    <row r="4012" spans="9:10" x14ac:dyDescent="0.25">
      <c r="I4012" s="199"/>
      <c r="J4012" s="199"/>
    </row>
    <row r="4013" spans="9:10" x14ac:dyDescent="0.25">
      <c r="I4013" s="199"/>
      <c r="J4013" s="199"/>
    </row>
    <row r="4014" spans="9:10" x14ac:dyDescent="0.25">
      <c r="I4014" s="199"/>
      <c r="J4014" s="199"/>
    </row>
    <row r="4015" spans="9:10" x14ac:dyDescent="0.25">
      <c r="I4015" s="199"/>
      <c r="J4015" s="199"/>
    </row>
    <row r="4016" spans="9:10" x14ac:dyDescent="0.25">
      <c r="I4016" s="199"/>
      <c r="J4016" s="199"/>
    </row>
    <row r="4017" spans="9:10" x14ac:dyDescent="0.25">
      <c r="I4017" s="199"/>
      <c r="J4017" s="199"/>
    </row>
    <row r="4018" spans="9:10" x14ac:dyDescent="0.25">
      <c r="I4018" s="199"/>
      <c r="J4018" s="199"/>
    </row>
    <row r="4019" spans="9:10" x14ac:dyDescent="0.25">
      <c r="I4019" s="199"/>
      <c r="J4019" s="199"/>
    </row>
    <row r="4020" spans="9:10" x14ac:dyDescent="0.25">
      <c r="I4020" s="199"/>
      <c r="J4020" s="199"/>
    </row>
    <row r="4021" spans="9:10" x14ac:dyDescent="0.25">
      <c r="I4021" s="199"/>
      <c r="J4021" s="199"/>
    </row>
    <row r="4022" spans="9:10" x14ac:dyDescent="0.25">
      <c r="I4022" s="199"/>
      <c r="J4022" s="199"/>
    </row>
    <row r="4023" spans="9:10" x14ac:dyDescent="0.25">
      <c r="I4023" s="199"/>
      <c r="J4023" s="199"/>
    </row>
    <row r="4024" spans="9:10" x14ac:dyDescent="0.25">
      <c r="I4024" s="199"/>
      <c r="J4024" s="199"/>
    </row>
    <row r="4025" spans="9:10" x14ac:dyDescent="0.25">
      <c r="I4025" s="199"/>
      <c r="J4025" s="199"/>
    </row>
    <row r="4026" spans="9:10" x14ac:dyDescent="0.25">
      <c r="I4026" s="199"/>
      <c r="J4026" s="199"/>
    </row>
    <row r="4027" spans="9:10" x14ac:dyDescent="0.25">
      <c r="I4027" s="199"/>
      <c r="J4027" s="199"/>
    </row>
    <row r="4028" spans="9:10" x14ac:dyDescent="0.25">
      <c r="I4028" s="199"/>
      <c r="J4028" s="199"/>
    </row>
    <row r="4029" spans="9:10" x14ac:dyDescent="0.25">
      <c r="I4029" s="199"/>
      <c r="J4029" s="199"/>
    </row>
    <row r="4030" spans="9:10" x14ac:dyDescent="0.25">
      <c r="I4030" s="199"/>
      <c r="J4030" s="199"/>
    </row>
    <row r="4031" spans="9:10" x14ac:dyDescent="0.25">
      <c r="I4031" s="199"/>
      <c r="J4031" s="199"/>
    </row>
    <row r="4032" spans="9:10" x14ac:dyDescent="0.25">
      <c r="I4032" s="199"/>
      <c r="J4032" s="199"/>
    </row>
    <row r="4033" spans="9:10" x14ac:dyDescent="0.25">
      <c r="I4033" s="199"/>
      <c r="J4033" s="199"/>
    </row>
    <row r="4034" spans="9:10" x14ac:dyDescent="0.25">
      <c r="I4034" s="199"/>
      <c r="J4034" s="199"/>
    </row>
    <row r="4035" spans="9:10" x14ac:dyDescent="0.25">
      <c r="I4035" s="199"/>
      <c r="J4035" s="199"/>
    </row>
    <row r="4036" spans="9:10" x14ac:dyDescent="0.25">
      <c r="I4036" s="199"/>
      <c r="J4036" s="199"/>
    </row>
    <row r="4037" spans="9:10" x14ac:dyDescent="0.25">
      <c r="I4037" s="199"/>
      <c r="J4037" s="199"/>
    </row>
    <row r="4038" spans="9:10" x14ac:dyDescent="0.25">
      <c r="I4038" s="199"/>
      <c r="J4038" s="199"/>
    </row>
    <row r="4039" spans="9:10" x14ac:dyDescent="0.25">
      <c r="I4039" s="199"/>
      <c r="J4039" s="199"/>
    </row>
    <row r="4040" spans="9:10" x14ac:dyDescent="0.25">
      <c r="I4040" s="199"/>
      <c r="J4040" s="199"/>
    </row>
    <row r="4041" spans="9:10" x14ac:dyDescent="0.25">
      <c r="I4041" s="199"/>
      <c r="J4041" s="199"/>
    </row>
    <row r="4042" spans="9:10" x14ac:dyDescent="0.25">
      <c r="I4042" s="199"/>
      <c r="J4042" s="199"/>
    </row>
    <row r="4043" spans="9:10" x14ac:dyDescent="0.25">
      <c r="I4043" s="199"/>
      <c r="J4043" s="199"/>
    </row>
    <row r="4044" spans="9:10" x14ac:dyDescent="0.25">
      <c r="I4044" s="199"/>
      <c r="J4044" s="199"/>
    </row>
    <row r="4045" spans="9:10" x14ac:dyDescent="0.25">
      <c r="I4045" s="199"/>
      <c r="J4045" s="199"/>
    </row>
    <row r="4046" spans="9:10" x14ac:dyDescent="0.25">
      <c r="I4046" s="199"/>
      <c r="J4046" s="199"/>
    </row>
    <row r="4047" spans="9:10" x14ac:dyDescent="0.25">
      <c r="I4047" s="199"/>
      <c r="J4047" s="199"/>
    </row>
    <row r="4048" spans="9:10" x14ac:dyDescent="0.25">
      <c r="I4048" s="199"/>
      <c r="J4048" s="199"/>
    </row>
    <row r="4049" spans="9:10" x14ac:dyDescent="0.25">
      <c r="I4049" s="199"/>
      <c r="J4049" s="199"/>
    </row>
    <row r="4050" spans="9:10" x14ac:dyDescent="0.25">
      <c r="I4050" s="199"/>
      <c r="J4050" s="199"/>
    </row>
    <row r="4051" spans="9:10" x14ac:dyDescent="0.25">
      <c r="I4051" s="199"/>
      <c r="J4051" s="199"/>
    </row>
    <row r="4052" spans="9:10" x14ac:dyDescent="0.25">
      <c r="I4052" s="199"/>
      <c r="J4052" s="199"/>
    </row>
    <row r="4053" spans="9:10" x14ac:dyDescent="0.25">
      <c r="I4053" s="199"/>
      <c r="J4053" s="199"/>
    </row>
    <row r="4054" spans="9:10" x14ac:dyDescent="0.25">
      <c r="I4054" s="199"/>
      <c r="J4054" s="199"/>
    </row>
    <row r="4055" spans="9:10" x14ac:dyDescent="0.25">
      <c r="I4055" s="199"/>
      <c r="J4055" s="199"/>
    </row>
    <row r="4056" spans="9:10" x14ac:dyDescent="0.25">
      <c r="I4056" s="199"/>
      <c r="J4056" s="199"/>
    </row>
    <row r="4057" spans="9:10" x14ac:dyDescent="0.25">
      <c r="I4057" s="199"/>
      <c r="J4057" s="199"/>
    </row>
    <row r="4058" spans="9:10" x14ac:dyDescent="0.25">
      <c r="I4058" s="199"/>
      <c r="J4058" s="199"/>
    </row>
    <row r="4059" spans="9:10" x14ac:dyDescent="0.25">
      <c r="I4059" s="199"/>
      <c r="J4059" s="199"/>
    </row>
    <row r="4060" spans="9:10" x14ac:dyDescent="0.25">
      <c r="I4060" s="199"/>
      <c r="J4060" s="199"/>
    </row>
    <row r="4061" spans="9:10" x14ac:dyDescent="0.25">
      <c r="I4061" s="199"/>
      <c r="J4061" s="199"/>
    </row>
    <row r="4062" spans="9:10" x14ac:dyDescent="0.25">
      <c r="I4062" s="199"/>
      <c r="J4062" s="199"/>
    </row>
    <row r="4063" spans="9:10" x14ac:dyDescent="0.25">
      <c r="I4063" s="199"/>
      <c r="J4063" s="199"/>
    </row>
    <row r="4064" spans="9:10" x14ac:dyDescent="0.25">
      <c r="I4064" s="199"/>
      <c r="J4064" s="199"/>
    </row>
    <row r="4065" spans="9:10" x14ac:dyDescent="0.25">
      <c r="I4065" s="199"/>
      <c r="J4065" s="199"/>
    </row>
    <row r="4066" spans="9:10" x14ac:dyDescent="0.25">
      <c r="I4066" s="199"/>
      <c r="J4066" s="199"/>
    </row>
    <row r="4067" spans="9:10" x14ac:dyDescent="0.25">
      <c r="I4067" s="199"/>
      <c r="J4067" s="199"/>
    </row>
    <row r="4068" spans="9:10" x14ac:dyDescent="0.25">
      <c r="I4068" s="199"/>
      <c r="J4068" s="199"/>
    </row>
    <row r="4069" spans="9:10" x14ac:dyDescent="0.25">
      <c r="I4069" s="199"/>
      <c r="J4069" s="199"/>
    </row>
    <row r="4070" spans="9:10" x14ac:dyDescent="0.25">
      <c r="I4070" s="199"/>
      <c r="J4070" s="199"/>
    </row>
    <row r="4071" spans="9:10" x14ac:dyDescent="0.25">
      <c r="I4071" s="199"/>
      <c r="J4071" s="199"/>
    </row>
    <row r="4072" spans="9:10" x14ac:dyDescent="0.25">
      <c r="I4072" s="199"/>
      <c r="J4072" s="199"/>
    </row>
    <row r="4073" spans="9:10" x14ac:dyDescent="0.25">
      <c r="I4073" s="199"/>
      <c r="J4073" s="199"/>
    </row>
    <row r="4074" spans="9:10" x14ac:dyDescent="0.25">
      <c r="I4074" s="199"/>
      <c r="J4074" s="199"/>
    </row>
    <row r="4075" spans="9:10" x14ac:dyDescent="0.25">
      <c r="I4075" s="199"/>
      <c r="J4075" s="199"/>
    </row>
    <row r="4076" spans="9:10" x14ac:dyDescent="0.25">
      <c r="I4076" s="199"/>
      <c r="J4076" s="199"/>
    </row>
    <row r="4077" spans="9:10" x14ac:dyDescent="0.25">
      <c r="I4077" s="199"/>
      <c r="J4077" s="199"/>
    </row>
    <row r="4078" spans="9:10" x14ac:dyDescent="0.25">
      <c r="I4078" s="199"/>
      <c r="J4078" s="199"/>
    </row>
    <row r="4079" spans="9:10" x14ac:dyDescent="0.25">
      <c r="I4079" s="199"/>
      <c r="J4079" s="199"/>
    </row>
    <row r="4080" spans="9:10" x14ac:dyDescent="0.25">
      <c r="I4080" s="199"/>
      <c r="J4080" s="199"/>
    </row>
    <row r="4081" spans="9:10" x14ac:dyDescent="0.25">
      <c r="I4081" s="199"/>
      <c r="J4081" s="199"/>
    </row>
    <row r="4082" spans="9:10" x14ac:dyDescent="0.25">
      <c r="I4082" s="199"/>
      <c r="J4082" s="199"/>
    </row>
    <row r="4083" spans="9:10" x14ac:dyDescent="0.25">
      <c r="I4083" s="199"/>
      <c r="J4083" s="199"/>
    </row>
    <row r="4084" spans="9:10" x14ac:dyDescent="0.25">
      <c r="I4084" s="199"/>
      <c r="J4084" s="199"/>
    </row>
    <row r="4085" spans="9:10" x14ac:dyDescent="0.25">
      <c r="I4085" s="199"/>
      <c r="J4085" s="199"/>
    </row>
    <row r="4086" spans="9:10" x14ac:dyDescent="0.25">
      <c r="I4086" s="199"/>
      <c r="J4086" s="199"/>
    </row>
    <row r="4087" spans="9:10" x14ac:dyDescent="0.25">
      <c r="I4087" s="199"/>
      <c r="J4087" s="199"/>
    </row>
    <row r="4088" spans="9:10" x14ac:dyDescent="0.25">
      <c r="I4088" s="199"/>
      <c r="J4088" s="199"/>
    </row>
    <row r="4089" spans="9:10" x14ac:dyDescent="0.25">
      <c r="I4089" s="199"/>
      <c r="J4089" s="199"/>
    </row>
    <row r="4090" spans="9:10" x14ac:dyDescent="0.25">
      <c r="I4090" s="199"/>
      <c r="J4090" s="199"/>
    </row>
    <row r="4091" spans="9:10" x14ac:dyDescent="0.25">
      <c r="I4091" s="199"/>
      <c r="J4091" s="199"/>
    </row>
    <row r="4092" spans="9:10" x14ac:dyDescent="0.25">
      <c r="I4092" s="199"/>
      <c r="J4092" s="199"/>
    </row>
    <row r="4093" spans="9:10" x14ac:dyDescent="0.25">
      <c r="I4093" s="199"/>
      <c r="J4093" s="199"/>
    </row>
    <row r="4094" spans="9:10" x14ac:dyDescent="0.25">
      <c r="I4094" s="199"/>
      <c r="J4094" s="199"/>
    </row>
    <row r="4095" spans="9:10" x14ac:dyDescent="0.25">
      <c r="I4095" s="199"/>
      <c r="J4095" s="199"/>
    </row>
    <row r="4096" spans="9:10" x14ac:dyDescent="0.25">
      <c r="I4096" s="199"/>
      <c r="J4096" s="199"/>
    </row>
    <row r="4097" spans="9:10" x14ac:dyDescent="0.25">
      <c r="I4097" s="199"/>
      <c r="J4097" s="199"/>
    </row>
    <row r="4098" spans="9:10" x14ac:dyDescent="0.25">
      <c r="I4098" s="199"/>
      <c r="J4098" s="199"/>
    </row>
    <row r="4099" spans="9:10" x14ac:dyDescent="0.25">
      <c r="I4099" s="199"/>
      <c r="J4099" s="199"/>
    </row>
    <row r="4100" spans="9:10" x14ac:dyDescent="0.25">
      <c r="I4100" s="199"/>
      <c r="J4100" s="199"/>
    </row>
    <row r="4101" spans="9:10" x14ac:dyDescent="0.25">
      <c r="I4101" s="199"/>
      <c r="J4101" s="199"/>
    </row>
    <row r="4102" spans="9:10" x14ac:dyDescent="0.25">
      <c r="I4102" s="199"/>
      <c r="J4102" s="199"/>
    </row>
    <row r="4103" spans="9:10" x14ac:dyDescent="0.25">
      <c r="I4103" s="199"/>
      <c r="J4103" s="199"/>
    </row>
    <row r="4104" spans="9:10" x14ac:dyDescent="0.25">
      <c r="I4104" s="199"/>
      <c r="J4104" s="199"/>
    </row>
    <row r="4105" spans="9:10" x14ac:dyDescent="0.25">
      <c r="I4105" s="199"/>
      <c r="J4105" s="199"/>
    </row>
    <row r="4106" spans="9:10" x14ac:dyDescent="0.25">
      <c r="I4106" s="199"/>
      <c r="J4106" s="199"/>
    </row>
    <row r="4107" spans="9:10" x14ac:dyDescent="0.25">
      <c r="I4107" s="199"/>
      <c r="J4107" s="199"/>
    </row>
    <row r="4108" spans="9:10" x14ac:dyDescent="0.25">
      <c r="I4108" s="199"/>
      <c r="J4108" s="199"/>
    </row>
    <row r="4109" spans="9:10" x14ac:dyDescent="0.25">
      <c r="I4109" s="199"/>
      <c r="J4109" s="199"/>
    </row>
    <row r="4110" spans="9:10" x14ac:dyDescent="0.25">
      <c r="I4110" s="199"/>
      <c r="J4110" s="199"/>
    </row>
    <row r="4111" spans="9:10" x14ac:dyDescent="0.25">
      <c r="I4111" s="199"/>
      <c r="J4111" s="199"/>
    </row>
    <row r="4112" spans="9:10" x14ac:dyDescent="0.25">
      <c r="I4112" s="199"/>
      <c r="J4112" s="199"/>
    </row>
    <row r="4113" spans="9:10" x14ac:dyDescent="0.25">
      <c r="I4113" s="199"/>
      <c r="J4113" s="199"/>
    </row>
    <row r="4114" spans="9:10" x14ac:dyDescent="0.25">
      <c r="I4114" s="199"/>
      <c r="J4114" s="199"/>
    </row>
    <row r="4115" spans="9:10" x14ac:dyDescent="0.25">
      <c r="I4115" s="199"/>
      <c r="J4115" s="199"/>
    </row>
    <row r="4116" spans="9:10" x14ac:dyDescent="0.25">
      <c r="I4116" s="199"/>
      <c r="J4116" s="199"/>
    </row>
    <row r="4117" spans="9:10" x14ac:dyDescent="0.25">
      <c r="I4117" s="199"/>
      <c r="J4117" s="199"/>
    </row>
    <row r="4118" spans="9:10" x14ac:dyDescent="0.25">
      <c r="I4118" s="199"/>
      <c r="J4118" s="199"/>
    </row>
    <row r="4119" spans="9:10" x14ac:dyDescent="0.25">
      <c r="I4119" s="199"/>
      <c r="J4119" s="199"/>
    </row>
    <row r="4120" spans="9:10" x14ac:dyDescent="0.25">
      <c r="I4120" s="199"/>
      <c r="J4120" s="199"/>
    </row>
    <row r="4121" spans="9:10" x14ac:dyDescent="0.25">
      <c r="I4121" s="199"/>
      <c r="J4121" s="199"/>
    </row>
    <row r="4122" spans="9:10" x14ac:dyDescent="0.25">
      <c r="I4122" s="199"/>
      <c r="J4122" s="199"/>
    </row>
    <row r="4123" spans="9:10" x14ac:dyDescent="0.25">
      <c r="I4123" s="199"/>
      <c r="J4123" s="199"/>
    </row>
    <row r="4124" spans="9:10" x14ac:dyDescent="0.25">
      <c r="I4124" s="199"/>
      <c r="J4124" s="199"/>
    </row>
    <row r="4125" spans="9:10" x14ac:dyDescent="0.25">
      <c r="I4125" s="199"/>
      <c r="J4125" s="199"/>
    </row>
    <row r="4126" spans="9:10" x14ac:dyDescent="0.25">
      <c r="I4126" s="199"/>
      <c r="J4126" s="199"/>
    </row>
    <row r="4127" spans="9:10" x14ac:dyDescent="0.25">
      <c r="I4127" s="199"/>
      <c r="J4127" s="199"/>
    </row>
    <row r="4128" spans="9:10" x14ac:dyDescent="0.25">
      <c r="I4128" s="199"/>
      <c r="J4128" s="199"/>
    </row>
    <row r="4129" spans="9:10" x14ac:dyDescent="0.25">
      <c r="I4129" s="199"/>
      <c r="J4129" s="199"/>
    </row>
    <row r="4130" spans="9:10" x14ac:dyDescent="0.25">
      <c r="I4130" s="199"/>
      <c r="J4130" s="199"/>
    </row>
    <row r="4131" spans="9:10" x14ac:dyDescent="0.25">
      <c r="I4131" s="199"/>
      <c r="J4131" s="199"/>
    </row>
    <row r="4132" spans="9:10" x14ac:dyDescent="0.25">
      <c r="I4132" s="199"/>
      <c r="J4132" s="199"/>
    </row>
    <row r="4133" spans="9:10" x14ac:dyDescent="0.25">
      <c r="I4133" s="199"/>
      <c r="J4133" s="199"/>
    </row>
    <row r="4134" spans="9:10" x14ac:dyDescent="0.25">
      <c r="I4134" s="199"/>
      <c r="J4134" s="199"/>
    </row>
    <row r="4135" spans="9:10" x14ac:dyDescent="0.25">
      <c r="I4135" s="199"/>
      <c r="J4135" s="199"/>
    </row>
    <row r="4136" spans="9:10" x14ac:dyDescent="0.25">
      <c r="I4136" s="199"/>
      <c r="J4136" s="199"/>
    </row>
    <row r="4137" spans="9:10" x14ac:dyDescent="0.25">
      <c r="I4137" s="199"/>
      <c r="J4137" s="199"/>
    </row>
    <row r="4138" spans="9:10" x14ac:dyDescent="0.25">
      <c r="I4138" s="199"/>
      <c r="J4138" s="199"/>
    </row>
    <row r="4139" spans="9:10" x14ac:dyDescent="0.25">
      <c r="I4139" s="199"/>
      <c r="J4139" s="199"/>
    </row>
    <row r="4140" spans="9:10" x14ac:dyDescent="0.25">
      <c r="I4140" s="199"/>
      <c r="J4140" s="199"/>
    </row>
    <row r="4141" spans="9:10" x14ac:dyDescent="0.25">
      <c r="I4141" s="199"/>
      <c r="J4141" s="199"/>
    </row>
    <row r="4142" spans="9:10" x14ac:dyDescent="0.25">
      <c r="I4142" s="199"/>
      <c r="J4142" s="199"/>
    </row>
    <row r="4143" spans="9:10" x14ac:dyDescent="0.25">
      <c r="I4143" s="199"/>
      <c r="J4143" s="199"/>
    </row>
    <row r="4144" spans="9:10" x14ac:dyDescent="0.25">
      <c r="I4144" s="199"/>
      <c r="J4144" s="199"/>
    </row>
    <row r="4145" spans="9:10" x14ac:dyDescent="0.25">
      <c r="I4145" s="199"/>
      <c r="J4145" s="199"/>
    </row>
    <row r="4146" spans="9:10" x14ac:dyDescent="0.25">
      <c r="I4146" s="199"/>
      <c r="J4146" s="199"/>
    </row>
    <row r="4147" spans="9:10" x14ac:dyDescent="0.25">
      <c r="I4147" s="199"/>
      <c r="J4147" s="199"/>
    </row>
    <row r="4148" spans="9:10" x14ac:dyDescent="0.25">
      <c r="I4148" s="199"/>
      <c r="J4148" s="199"/>
    </row>
    <row r="4149" spans="9:10" x14ac:dyDescent="0.25">
      <c r="I4149" s="199"/>
      <c r="J4149" s="199"/>
    </row>
    <row r="4150" spans="9:10" x14ac:dyDescent="0.25">
      <c r="I4150" s="199"/>
      <c r="J4150" s="199"/>
    </row>
    <row r="4151" spans="9:10" x14ac:dyDescent="0.25">
      <c r="I4151" s="199"/>
      <c r="J4151" s="199"/>
    </row>
    <row r="4152" spans="9:10" x14ac:dyDescent="0.25">
      <c r="I4152" s="199"/>
      <c r="J4152" s="199"/>
    </row>
    <row r="4153" spans="9:10" x14ac:dyDescent="0.25">
      <c r="I4153" s="199"/>
      <c r="J4153" s="199"/>
    </row>
    <row r="4154" spans="9:10" x14ac:dyDescent="0.25">
      <c r="I4154" s="199"/>
      <c r="J4154" s="199"/>
    </row>
    <row r="4155" spans="9:10" x14ac:dyDescent="0.25">
      <c r="I4155" s="199"/>
      <c r="J4155" s="199"/>
    </row>
    <row r="4156" spans="9:10" x14ac:dyDescent="0.25">
      <c r="I4156" s="199"/>
      <c r="J4156" s="199"/>
    </row>
    <row r="4157" spans="9:10" x14ac:dyDescent="0.25">
      <c r="I4157" s="199"/>
      <c r="J4157" s="199"/>
    </row>
    <row r="4158" spans="9:10" x14ac:dyDescent="0.25">
      <c r="I4158" s="199"/>
      <c r="J4158" s="199"/>
    </row>
    <row r="4159" spans="9:10" x14ac:dyDescent="0.25">
      <c r="I4159" s="199"/>
      <c r="J4159" s="199"/>
    </row>
    <row r="4160" spans="9:10" x14ac:dyDescent="0.25">
      <c r="I4160" s="199"/>
      <c r="J4160" s="199"/>
    </row>
    <row r="4161" spans="9:10" x14ac:dyDescent="0.25">
      <c r="I4161" s="199"/>
      <c r="J4161" s="199"/>
    </row>
    <row r="4162" spans="9:10" x14ac:dyDescent="0.25">
      <c r="I4162" s="199"/>
      <c r="J4162" s="199"/>
    </row>
    <row r="4163" spans="9:10" x14ac:dyDescent="0.25">
      <c r="I4163" s="199"/>
      <c r="J4163" s="199"/>
    </row>
    <row r="4164" spans="9:10" x14ac:dyDescent="0.25">
      <c r="I4164" s="199"/>
      <c r="J4164" s="199"/>
    </row>
    <row r="4165" spans="9:10" x14ac:dyDescent="0.25">
      <c r="I4165" s="199"/>
      <c r="J4165" s="199"/>
    </row>
    <row r="4166" spans="9:10" x14ac:dyDescent="0.25">
      <c r="I4166" s="199"/>
      <c r="J4166" s="199"/>
    </row>
    <row r="4167" spans="9:10" x14ac:dyDescent="0.25">
      <c r="I4167" s="199"/>
      <c r="J4167" s="199"/>
    </row>
    <row r="4168" spans="9:10" x14ac:dyDescent="0.25">
      <c r="I4168" s="199"/>
      <c r="J4168" s="199"/>
    </row>
    <row r="4169" spans="9:10" x14ac:dyDescent="0.25">
      <c r="I4169" s="199"/>
      <c r="J4169" s="199"/>
    </row>
    <row r="4170" spans="9:10" x14ac:dyDescent="0.25">
      <c r="I4170" s="199"/>
      <c r="J4170" s="199"/>
    </row>
    <row r="4171" spans="9:10" x14ac:dyDescent="0.25">
      <c r="I4171" s="199"/>
      <c r="J4171" s="199"/>
    </row>
    <row r="4172" spans="9:10" x14ac:dyDescent="0.25">
      <c r="I4172" s="199"/>
      <c r="J4172" s="199"/>
    </row>
    <row r="4173" spans="9:10" x14ac:dyDescent="0.25">
      <c r="I4173" s="199"/>
      <c r="J4173" s="199"/>
    </row>
    <row r="4174" spans="9:10" x14ac:dyDescent="0.25">
      <c r="I4174" s="199"/>
      <c r="J4174" s="199"/>
    </row>
    <row r="4175" spans="9:10" x14ac:dyDescent="0.25">
      <c r="I4175" s="199"/>
      <c r="J4175" s="199"/>
    </row>
    <row r="4176" spans="9:10" x14ac:dyDescent="0.25">
      <c r="I4176" s="199"/>
      <c r="J4176" s="199"/>
    </row>
    <row r="4177" spans="9:10" x14ac:dyDescent="0.25">
      <c r="I4177" s="199"/>
      <c r="J4177" s="199"/>
    </row>
    <row r="4178" spans="9:10" x14ac:dyDescent="0.25">
      <c r="I4178" s="199"/>
      <c r="J4178" s="199"/>
    </row>
    <row r="4179" spans="9:10" x14ac:dyDescent="0.25">
      <c r="I4179" s="199"/>
      <c r="J4179" s="199"/>
    </row>
    <row r="4180" spans="9:10" x14ac:dyDescent="0.25">
      <c r="I4180" s="199"/>
      <c r="J4180" s="199"/>
    </row>
    <row r="4181" spans="9:10" x14ac:dyDescent="0.25">
      <c r="I4181" s="199"/>
      <c r="J4181" s="199"/>
    </row>
    <row r="4182" spans="9:10" x14ac:dyDescent="0.25">
      <c r="I4182" s="199"/>
      <c r="J4182" s="199"/>
    </row>
    <row r="4183" spans="9:10" x14ac:dyDescent="0.25">
      <c r="I4183" s="199"/>
      <c r="J4183" s="199"/>
    </row>
    <row r="4184" spans="9:10" x14ac:dyDescent="0.25">
      <c r="I4184" s="199"/>
      <c r="J4184" s="199"/>
    </row>
    <row r="4185" spans="9:10" x14ac:dyDescent="0.25">
      <c r="I4185" s="199"/>
      <c r="J4185" s="199"/>
    </row>
    <row r="4186" spans="9:10" x14ac:dyDescent="0.25">
      <c r="I4186" s="199"/>
      <c r="J4186" s="199"/>
    </row>
    <row r="4187" spans="9:10" x14ac:dyDescent="0.25">
      <c r="I4187" s="199"/>
      <c r="J4187" s="199"/>
    </row>
    <row r="4188" spans="9:10" x14ac:dyDescent="0.25">
      <c r="I4188" s="199"/>
      <c r="J4188" s="199"/>
    </row>
    <row r="4189" spans="9:10" x14ac:dyDescent="0.25">
      <c r="I4189" s="199"/>
      <c r="J4189" s="199"/>
    </row>
    <row r="4190" spans="9:10" x14ac:dyDescent="0.25">
      <c r="I4190" s="199"/>
      <c r="J4190" s="199"/>
    </row>
    <row r="4191" spans="9:10" x14ac:dyDescent="0.25">
      <c r="I4191" s="199"/>
      <c r="J4191" s="199"/>
    </row>
    <row r="4192" spans="9:10" x14ac:dyDescent="0.25">
      <c r="I4192" s="199"/>
      <c r="J4192" s="199"/>
    </row>
    <row r="4193" spans="9:10" x14ac:dyDescent="0.25">
      <c r="I4193" s="199"/>
      <c r="J4193" s="199"/>
    </row>
    <row r="4194" spans="9:10" x14ac:dyDescent="0.25">
      <c r="I4194" s="199"/>
      <c r="J4194" s="199"/>
    </row>
    <row r="4195" spans="9:10" x14ac:dyDescent="0.25">
      <c r="I4195" s="199"/>
      <c r="J4195" s="199"/>
    </row>
    <row r="4196" spans="9:10" x14ac:dyDescent="0.25">
      <c r="I4196" s="199"/>
      <c r="J4196" s="199"/>
    </row>
    <row r="4197" spans="9:10" x14ac:dyDescent="0.25">
      <c r="I4197" s="199"/>
      <c r="J4197" s="199"/>
    </row>
    <row r="4198" spans="9:10" x14ac:dyDescent="0.25">
      <c r="I4198" s="199"/>
      <c r="J4198" s="199"/>
    </row>
    <row r="4199" spans="9:10" x14ac:dyDescent="0.25">
      <c r="I4199" s="199"/>
      <c r="J4199" s="199"/>
    </row>
    <row r="4200" spans="9:10" x14ac:dyDescent="0.25">
      <c r="I4200" s="199"/>
      <c r="J4200" s="199"/>
    </row>
    <row r="4201" spans="9:10" x14ac:dyDescent="0.25">
      <c r="I4201" s="199"/>
      <c r="J4201" s="199"/>
    </row>
    <row r="4202" spans="9:10" x14ac:dyDescent="0.25">
      <c r="I4202" s="199"/>
      <c r="J4202" s="199"/>
    </row>
    <row r="4203" spans="9:10" x14ac:dyDescent="0.25">
      <c r="I4203" s="199"/>
      <c r="J4203" s="199"/>
    </row>
    <row r="4204" spans="9:10" x14ac:dyDescent="0.25">
      <c r="I4204" s="199"/>
      <c r="J4204" s="199"/>
    </row>
    <row r="4205" spans="9:10" x14ac:dyDescent="0.25">
      <c r="I4205" s="199"/>
      <c r="J4205" s="199"/>
    </row>
    <row r="4206" spans="9:10" x14ac:dyDescent="0.25">
      <c r="I4206" s="199"/>
      <c r="J4206" s="199"/>
    </row>
    <row r="4207" spans="9:10" x14ac:dyDescent="0.25">
      <c r="I4207" s="199"/>
      <c r="J4207" s="199"/>
    </row>
    <row r="4208" spans="9:10" x14ac:dyDescent="0.25">
      <c r="I4208" s="199"/>
      <c r="J4208" s="199"/>
    </row>
    <row r="4209" spans="9:10" x14ac:dyDescent="0.25">
      <c r="I4209" s="199"/>
      <c r="J4209" s="199"/>
    </row>
    <row r="4210" spans="9:10" x14ac:dyDescent="0.25">
      <c r="I4210" s="199"/>
      <c r="J4210" s="199"/>
    </row>
    <row r="4211" spans="9:10" x14ac:dyDescent="0.25">
      <c r="I4211" s="199"/>
      <c r="J4211" s="199"/>
    </row>
    <row r="4212" spans="9:10" x14ac:dyDescent="0.25">
      <c r="I4212" s="199"/>
      <c r="J4212" s="199"/>
    </row>
    <row r="4213" spans="9:10" x14ac:dyDescent="0.25">
      <c r="I4213" s="199"/>
      <c r="J4213" s="199"/>
    </row>
    <row r="4214" spans="9:10" x14ac:dyDescent="0.25">
      <c r="I4214" s="199"/>
      <c r="J4214" s="199"/>
    </row>
    <row r="4215" spans="9:10" x14ac:dyDescent="0.25">
      <c r="I4215" s="199"/>
      <c r="J4215" s="199"/>
    </row>
    <row r="4216" spans="9:10" x14ac:dyDescent="0.25">
      <c r="I4216" s="199"/>
      <c r="J4216" s="199"/>
    </row>
    <row r="4217" spans="9:10" x14ac:dyDescent="0.25">
      <c r="I4217" s="199"/>
      <c r="J4217" s="199"/>
    </row>
    <row r="4218" spans="9:10" x14ac:dyDescent="0.25">
      <c r="I4218" s="199"/>
      <c r="J4218" s="199"/>
    </row>
    <row r="4219" spans="9:10" x14ac:dyDescent="0.25">
      <c r="I4219" s="199"/>
      <c r="J4219" s="199"/>
    </row>
    <row r="4220" spans="9:10" x14ac:dyDescent="0.25">
      <c r="I4220" s="199"/>
      <c r="J4220" s="199"/>
    </row>
    <row r="4221" spans="9:10" x14ac:dyDescent="0.25">
      <c r="I4221" s="199"/>
      <c r="J4221" s="199"/>
    </row>
    <row r="4222" spans="9:10" x14ac:dyDescent="0.25">
      <c r="I4222" s="199"/>
      <c r="J4222" s="199"/>
    </row>
    <row r="4223" spans="9:10" x14ac:dyDescent="0.25">
      <c r="I4223" s="199"/>
      <c r="J4223" s="199"/>
    </row>
    <row r="4224" spans="9:10" x14ac:dyDescent="0.25">
      <c r="I4224" s="199"/>
      <c r="J4224" s="199"/>
    </row>
    <row r="4225" spans="9:10" x14ac:dyDescent="0.25">
      <c r="I4225" s="199"/>
      <c r="J4225" s="199"/>
    </row>
    <row r="4226" spans="9:10" x14ac:dyDescent="0.25">
      <c r="I4226" s="199"/>
      <c r="J4226" s="199"/>
    </row>
    <row r="4227" spans="9:10" x14ac:dyDescent="0.25">
      <c r="I4227" s="199"/>
      <c r="J4227" s="199"/>
    </row>
    <row r="4228" spans="9:10" x14ac:dyDescent="0.25">
      <c r="I4228" s="199"/>
      <c r="J4228" s="199"/>
    </row>
    <row r="4229" spans="9:10" x14ac:dyDescent="0.25">
      <c r="I4229" s="199"/>
      <c r="J4229" s="199"/>
    </row>
    <row r="4230" spans="9:10" x14ac:dyDescent="0.25">
      <c r="I4230" s="199"/>
      <c r="J4230" s="199"/>
    </row>
    <row r="4231" spans="9:10" x14ac:dyDescent="0.25">
      <c r="I4231" s="199"/>
      <c r="J4231" s="199"/>
    </row>
    <row r="4232" spans="9:10" x14ac:dyDescent="0.25">
      <c r="I4232" s="199"/>
      <c r="J4232" s="199"/>
    </row>
    <row r="4233" spans="9:10" x14ac:dyDescent="0.25">
      <c r="I4233" s="199"/>
      <c r="J4233" s="199"/>
    </row>
    <row r="4234" spans="9:10" x14ac:dyDescent="0.25">
      <c r="I4234" s="199"/>
      <c r="J4234" s="199"/>
    </row>
    <row r="4235" spans="9:10" x14ac:dyDescent="0.25">
      <c r="I4235" s="199"/>
      <c r="J4235" s="199"/>
    </row>
    <row r="4236" spans="9:10" x14ac:dyDescent="0.25">
      <c r="I4236" s="199"/>
      <c r="J4236" s="199"/>
    </row>
    <row r="4237" spans="9:10" x14ac:dyDescent="0.25">
      <c r="I4237" s="199"/>
      <c r="J4237" s="199"/>
    </row>
    <row r="4238" spans="9:10" x14ac:dyDescent="0.25">
      <c r="I4238" s="199"/>
      <c r="J4238" s="199"/>
    </row>
    <row r="4239" spans="9:10" x14ac:dyDescent="0.25">
      <c r="I4239" s="199"/>
      <c r="J4239" s="199"/>
    </row>
    <row r="4240" spans="9:10" x14ac:dyDescent="0.25">
      <c r="I4240" s="199"/>
      <c r="J4240" s="199"/>
    </row>
    <row r="4241" spans="9:10" x14ac:dyDescent="0.25">
      <c r="I4241" s="199"/>
      <c r="J4241" s="199"/>
    </row>
    <row r="4242" spans="9:10" x14ac:dyDescent="0.25">
      <c r="I4242" s="199"/>
      <c r="J4242" s="199"/>
    </row>
    <row r="4243" spans="9:10" x14ac:dyDescent="0.25">
      <c r="I4243" s="199"/>
      <c r="J4243" s="199"/>
    </row>
    <row r="4244" spans="9:10" x14ac:dyDescent="0.25">
      <c r="I4244" s="199"/>
      <c r="J4244" s="199"/>
    </row>
    <row r="4245" spans="9:10" x14ac:dyDescent="0.25">
      <c r="I4245" s="199"/>
      <c r="J4245" s="199"/>
    </row>
    <row r="4246" spans="9:10" x14ac:dyDescent="0.25">
      <c r="I4246" s="199"/>
      <c r="J4246" s="199"/>
    </row>
    <row r="4247" spans="9:10" x14ac:dyDescent="0.25">
      <c r="I4247" s="199"/>
      <c r="J4247" s="199"/>
    </row>
    <row r="4248" spans="9:10" x14ac:dyDescent="0.25">
      <c r="I4248" s="199"/>
      <c r="J4248" s="199"/>
    </row>
    <row r="4249" spans="9:10" x14ac:dyDescent="0.25">
      <c r="I4249" s="199"/>
      <c r="J4249" s="199"/>
    </row>
    <row r="4250" spans="9:10" x14ac:dyDescent="0.25">
      <c r="I4250" s="199"/>
      <c r="J4250" s="199"/>
    </row>
    <row r="4251" spans="9:10" x14ac:dyDescent="0.25">
      <c r="I4251" s="199"/>
      <c r="J4251" s="199"/>
    </row>
    <row r="4252" spans="9:10" x14ac:dyDescent="0.25">
      <c r="I4252" s="199"/>
      <c r="J4252" s="199"/>
    </row>
    <row r="4253" spans="9:10" x14ac:dyDescent="0.25">
      <c r="I4253" s="199"/>
      <c r="J4253" s="199"/>
    </row>
    <row r="4254" spans="9:10" x14ac:dyDescent="0.25">
      <c r="I4254" s="199"/>
      <c r="J4254" s="199"/>
    </row>
    <row r="4255" spans="9:10" x14ac:dyDescent="0.25">
      <c r="I4255" s="199"/>
      <c r="J4255" s="199"/>
    </row>
    <row r="4256" spans="9:10" x14ac:dyDescent="0.25">
      <c r="I4256" s="199"/>
      <c r="J4256" s="199"/>
    </row>
    <row r="4257" spans="9:10" x14ac:dyDescent="0.25">
      <c r="I4257" s="199"/>
      <c r="J4257" s="199"/>
    </row>
    <row r="4258" spans="9:10" x14ac:dyDescent="0.25">
      <c r="I4258" s="199"/>
      <c r="J4258" s="199"/>
    </row>
    <row r="4259" spans="9:10" x14ac:dyDescent="0.25">
      <c r="I4259" s="199"/>
      <c r="J4259" s="199"/>
    </row>
    <row r="4260" spans="9:10" x14ac:dyDescent="0.25">
      <c r="I4260" s="199"/>
      <c r="J4260" s="199"/>
    </row>
    <row r="4261" spans="9:10" x14ac:dyDescent="0.25">
      <c r="I4261" s="199"/>
      <c r="J4261" s="199"/>
    </row>
    <row r="4262" spans="9:10" x14ac:dyDescent="0.25">
      <c r="I4262" s="199"/>
      <c r="J4262" s="199"/>
    </row>
    <row r="4263" spans="9:10" x14ac:dyDescent="0.25">
      <c r="I4263" s="199"/>
      <c r="J4263" s="199"/>
    </row>
    <row r="4264" spans="9:10" x14ac:dyDescent="0.25">
      <c r="I4264" s="199"/>
      <c r="J4264" s="199"/>
    </row>
    <row r="4265" spans="9:10" x14ac:dyDescent="0.25">
      <c r="I4265" s="199"/>
      <c r="J4265" s="199"/>
    </row>
    <row r="4266" spans="9:10" x14ac:dyDescent="0.25">
      <c r="I4266" s="199"/>
      <c r="J4266" s="199"/>
    </row>
    <row r="4267" spans="9:10" x14ac:dyDescent="0.25">
      <c r="I4267" s="199"/>
      <c r="J4267" s="199"/>
    </row>
    <row r="4268" spans="9:10" x14ac:dyDescent="0.25">
      <c r="I4268" s="199"/>
      <c r="J4268" s="199"/>
    </row>
    <row r="4269" spans="9:10" x14ac:dyDescent="0.25">
      <c r="I4269" s="199"/>
      <c r="J4269" s="199"/>
    </row>
    <row r="4270" spans="9:10" x14ac:dyDescent="0.25">
      <c r="I4270" s="199"/>
      <c r="J4270" s="199"/>
    </row>
    <row r="4271" spans="9:10" x14ac:dyDescent="0.25">
      <c r="I4271" s="199"/>
      <c r="J4271" s="199"/>
    </row>
    <row r="4272" spans="9:10" x14ac:dyDescent="0.25">
      <c r="I4272" s="199"/>
      <c r="J4272" s="199"/>
    </row>
    <row r="4273" spans="9:10" x14ac:dyDescent="0.25">
      <c r="I4273" s="199"/>
      <c r="J4273" s="199"/>
    </row>
    <row r="4274" spans="9:10" x14ac:dyDescent="0.25">
      <c r="I4274" s="199"/>
      <c r="J4274" s="199"/>
    </row>
    <row r="4275" spans="9:10" x14ac:dyDescent="0.25">
      <c r="I4275" s="199"/>
      <c r="J4275" s="199"/>
    </row>
    <row r="4276" spans="9:10" x14ac:dyDescent="0.25">
      <c r="I4276" s="199"/>
      <c r="J4276" s="199"/>
    </row>
    <row r="4277" spans="9:10" x14ac:dyDescent="0.25">
      <c r="I4277" s="199"/>
      <c r="J4277" s="199"/>
    </row>
    <row r="4278" spans="9:10" x14ac:dyDescent="0.25">
      <c r="I4278" s="199"/>
      <c r="J4278" s="199"/>
    </row>
    <row r="4279" spans="9:10" x14ac:dyDescent="0.25">
      <c r="I4279" s="199"/>
      <c r="J4279" s="199"/>
    </row>
    <row r="4280" spans="9:10" x14ac:dyDescent="0.25">
      <c r="I4280" s="199"/>
      <c r="J4280" s="199"/>
    </row>
    <row r="4281" spans="9:10" x14ac:dyDescent="0.25">
      <c r="I4281" s="199"/>
      <c r="J4281" s="199"/>
    </row>
    <row r="4282" spans="9:10" x14ac:dyDescent="0.25">
      <c r="I4282" s="199"/>
      <c r="J4282" s="199"/>
    </row>
    <row r="4283" spans="9:10" x14ac:dyDescent="0.25">
      <c r="I4283" s="199"/>
      <c r="J4283" s="199"/>
    </row>
    <row r="4284" spans="9:10" x14ac:dyDescent="0.25">
      <c r="I4284" s="199"/>
      <c r="J4284" s="199"/>
    </row>
    <row r="4285" spans="9:10" x14ac:dyDescent="0.25">
      <c r="I4285" s="199"/>
      <c r="J4285" s="199"/>
    </row>
    <row r="4286" spans="9:10" x14ac:dyDescent="0.25">
      <c r="I4286" s="199"/>
      <c r="J4286" s="199"/>
    </row>
    <row r="4287" spans="9:10" x14ac:dyDescent="0.25">
      <c r="I4287" s="199"/>
      <c r="J4287" s="199"/>
    </row>
    <row r="4288" spans="9:10" x14ac:dyDescent="0.25">
      <c r="I4288" s="199"/>
      <c r="J4288" s="199"/>
    </row>
    <row r="4289" spans="9:10" x14ac:dyDescent="0.25">
      <c r="I4289" s="199"/>
      <c r="J4289" s="199"/>
    </row>
    <row r="4290" spans="9:10" x14ac:dyDescent="0.25">
      <c r="I4290" s="199"/>
      <c r="J4290" s="199"/>
    </row>
    <row r="4291" spans="9:10" x14ac:dyDescent="0.25">
      <c r="I4291" s="199"/>
      <c r="J4291" s="199"/>
    </row>
    <row r="4292" spans="9:10" x14ac:dyDescent="0.25">
      <c r="I4292" s="199"/>
      <c r="J4292" s="199"/>
    </row>
    <row r="4293" spans="9:10" x14ac:dyDescent="0.25">
      <c r="I4293" s="199"/>
      <c r="J4293" s="199"/>
    </row>
    <row r="4294" spans="9:10" x14ac:dyDescent="0.25">
      <c r="I4294" s="199"/>
      <c r="J4294" s="199"/>
    </row>
    <row r="4295" spans="9:10" x14ac:dyDescent="0.25">
      <c r="I4295" s="199"/>
      <c r="J4295" s="199"/>
    </row>
    <row r="4296" spans="9:10" x14ac:dyDescent="0.25">
      <c r="I4296" s="199"/>
      <c r="J4296" s="199"/>
    </row>
    <row r="4297" spans="9:10" x14ac:dyDescent="0.25">
      <c r="I4297" s="199"/>
      <c r="J4297" s="199"/>
    </row>
    <row r="4298" spans="9:10" x14ac:dyDescent="0.25">
      <c r="I4298" s="199"/>
      <c r="J4298" s="199"/>
    </row>
    <row r="4299" spans="9:10" x14ac:dyDescent="0.25">
      <c r="I4299" s="199"/>
      <c r="J4299" s="199"/>
    </row>
    <row r="4300" spans="9:10" x14ac:dyDescent="0.25">
      <c r="I4300" s="199"/>
      <c r="J4300" s="199"/>
    </row>
    <row r="4301" spans="9:10" x14ac:dyDescent="0.25">
      <c r="I4301" s="199"/>
      <c r="J4301" s="199"/>
    </row>
    <row r="4302" spans="9:10" x14ac:dyDescent="0.25">
      <c r="I4302" s="199"/>
      <c r="J4302" s="199"/>
    </row>
    <row r="4303" spans="9:10" x14ac:dyDescent="0.25">
      <c r="I4303" s="199"/>
      <c r="J4303" s="199"/>
    </row>
    <row r="4304" spans="9:10" x14ac:dyDescent="0.25">
      <c r="I4304" s="199"/>
      <c r="J4304" s="199"/>
    </row>
    <row r="4305" spans="9:10" x14ac:dyDescent="0.25">
      <c r="I4305" s="199"/>
      <c r="J4305" s="199"/>
    </row>
    <row r="4306" spans="9:10" x14ac:dyDescent="0.25">
      <c r="I4306" s="199"/>
      <c r="J4306" s="199"/>
    </row>
    <row r="4307" spans="9:10" x14ac:dyDescent="0.25">
      <c r="I4307" s="199"/>
      <c r="J4307" s="199"/>
    </row>
    <row r="4308" spans="9:10" x14ac:dyDescent="0.25">
      <c r="I4308" s="199"/>
      <c r="J4308" s="199"/>
    </row>
    <row r="4309" spans="9:10" x14ac:dyDescent="0.25">
      <c r="I4309" s="199"/>
      <c r="J4309" s="199"/>
    </row>
    <row r="4310" spans="9:10" x14ac:dyDescent="0.25">
      <c r="I4310" s="199"/>
      <c r="J4310" s="199"/>
    </row>
    <row r="4311" spans="9:10" x14ac:dyDescent="0.25">
      <c r="I4311" s="199"/>
      <c r="J4311" s="199"/>
    </row>
    <row r="4312" spans="9:10" x14ac:dyDescent="0.25">
      <c r="I4312" s="199"/>
      <c r="J4312" s="199"/>
    </row>
    <row r="4313" spans="9:10" x14ac:dyDescent="0.25">
      <c r="I4313" s="199"/>
      <c r="J4313" s="199"/>
    </row>
    <row r="4314" spans="9:10" x14ac:dyDescent="0.25">
      <c r="I4314" s="199"/>
      <c r="J4314" s="199"/>
    </row>
    <row r="4315" spans="9:10" x14ac:dyDescent="0.25">
      <c r="I4315" s="199"/>
      <c r="J4315" s="199"/>
    </row>
    <row r="4316" spans="9:10" x14ac:dyDescent="0.25">
      <c r="I4316" s="199"/>
      <c r="J4316" s="199"/>
    </row>
    <row r="4317" spans="9:10" x14ac:dyDescent="0.25">
      <c r="I4317" s="199"/>
      <c r="J4317" s="199"/>
    </row>
    <row r="4318" spans="9:10" x14ac:dyDescent="0.25">
      <c r="I4318" s="199"/>
      <c r="J4318" s="199"/>
    </row>
    <row r="4319" spans="9:10" x14ac:dyDescent="0.25">
      <c r="I4319" s="199"/>
      <c r="J4319" s="199"/>
    </row>
    <row r="4320" spans="9:10" x14ac:dyDescent="0.25">
      <c r="I4320" s="199"/>
      <c r="J4320" s="199"/>
    </row>
    <row r="4321" spans="9:10" x14ac:dyDescent="0.25">
      <c r="I4321" s="199"/>
      <c r="J4321" s="199"/>
    </row>
    <row r="4322" spans="9:10" x14ac:dyDescent="0.25">
      <c r="I4322" s="199"/>
      <c r="J4322" s="199"/>
    </row>
    <row r="4323" spans="9:10" x14ac:dyDescent="0.25">
      <c r="I4323" s="199"/>
      <c r="J4323" s="199"/>
    </row>
    <row r="4324" spans="9:10" x14ac:dyDescent="0.25">
      <c r="I4324" s="199"/>
      <c r="J4324" s="199"/>
    </row>
    <row r="4325" spans="9:10" x14ac:dyDescent="0.25">
      <c r="I4325" s="199"/>
      <c r="J4325" s="199"/>
    </row>
    <row r="4326" spans="9:10" x14ac:dyDescent="0.25">
      <c r="I4326" s="199"/>
      <c r="J4326" s="199"/>
    </row>
    <row r="4327" spans="9:10" x14ac:dyDescent="0.25">
      <c r="I4327" s="199"/>
      <c r="J4327" s="199"/>
    </row>
    <row r="4328" spans="9:10" x14ac:dyDescent="0.25">
      <c r="I4328" s="199"/>
      <c r="J4328" s="199"/>
    </row>
    <row r="4329" spans="9:10" x14ac:dyDescent="0.25">
      <c r="I4329" s="199"/>
      <c r="J4329" s="199"/>
    </row>
    <row r="4330" spans="9:10" x14ac:dyDescent="0.25">
      <c r="I4330" s="199"/>
      <c r="J4330" s="199"/>
    </row>
    <row r="4331" spans="9:10" x14ac:dyDescent="0.25">
      <c r="I4331" s="199"/>
      <c r="J4331" s="199"/>
    </row>
    <row r="4332" spans="9:10" x14ac:dyDescent="0.25">
      <c r="I4332" s="199"/>
      <c r="J4332" s="199"/>
    </row>
    <row r="4333" spans="9:10" x14ac:dyDescent="0.25">
      <c r="I4333" s="199"/>
      <c r="J4333" s="199"/>
    </row>
    <row r="4334" spans="9:10" x14ac:dyDescent="0.25">
      <c r="I4334" s="199"/>
      <c r="J4334" s="199"/>
    </row>
    <row r="4335" spans="9:10" x14ac:dyDescent="0.25">
      <c r="I4335" s="199"/>
      <c r="J4335" s="199"/>
    </row>
    <row r="4336" spans="9:10" x14ac:dyDescent="0.25">
      <c r="I4336" s="199"/>
      <c r="J4336" s="199"/>
    </row>
    <row r="4337" spans="9:10" x14ac:dyDescent="0.25">
      <c r="I4337" s="199"/>
      <c r="J4337" s="199"/>
    </row>
    <row r="4338" spans="9:10" x14ac:dyDescent="0.25">
      <c r="I4338" s="199"/>
      <c r="J4338" s="199"/>
    </row>
    <row r="4339" spans="9:10" x14ac:dyDescent="0.25">
      <c r="I4339" s="199"/>
      <c r="J4339" s="199"/>
    </row>
    <row r="4340" spans="9:10" x14ac:dyDescent="0.25">
      <c r="I4340" s="199"/>
      <c r="J4340" s="199"/>
    </row>
    <row r="4341" spans="9:10" x14ac:dyDescent="0.25">
      <c r="I4341" s="199"/>
      <c r="J4341" s="199"/>
    </row>
    <row r="4342" spans="9:10" x14ac:dyDescent="0.25">
      <c r="I4342" s="199"/>
      <c r="J4342" s="199"/>
    </row>
    <row r="4343" spans="9:10" x14ac:dyDescent="0.25">
      <c r="I4343" s="199"/>
      <c r="J4343" s="199"/>
    </row>
    <row r="4344" spans="9:10" x14ac:dyDescent="0.25">
      <c r="I4344" s="199"/>
      <c r="J4344" s="199"/>
    </row>
    <row r="4345" spans="9:10" x14ac:dyDescent="0.25">
      <c r="I4345" s="199"/>
      <c r="J4345" s="199"/>
    </row>
    <row r="4346" spans="9:10" x14ac:dyDescent="0.25">
      <c r="I4346" s="199"/>
      <c r="J4346" s="199"/>
    </row>
    <row r="4347" spans="9:10" x14ac:dyDescent="0.25">
      <c r="I4347" s="199"/>
      <c r="J4347" s="199"/>
    </row>
    <row r="4348" spans="9:10" x14ac:dyDescent="0.25">
      <c r="I4348" s="199"/>
      <c r="J4348" s="199"/>
    </row>
    <row r="4349" spans="9:10" x14ac:dyDescent="0.25">
      <c r="I4349" s="199"/>
      <c r="J4349" s="199"/>
    </row>
    <row r="4350" spans="9:10" x14ac:dyDescent="0.25">
      <c r="I4350" s="199"/>
      <c r="J4350" s="199"/>
    </row>
    <row r="4351" spans="9:10" x14ac:dyDescent="0.25">
      <c r="I4351" s="199"/>
      <c r="J4351" s="199"/>
    </row>
    <row r="4352" spans="9:10" x14ac:dyDescent="0.25">
      <c r="I4352" s="199"/>
      <c r="J4352" s="199"/>
    </row>
    <row r="4353" spans="9:10" x14ac:dyDescent="0.25">
      <c r="I4353" s="199"/>
      <c r="J4353" s="199"/>
    </row>
    <row r="4354" spans="9:10" x14ac:dyDescent="0.25">
      <c r="I4354" s="199"/>
      <c r="J4354" s="199"/>
    </row>
    <row r="4355" spans="9:10" x14ac:dyDescent="0.25">
      <c r="I4355" s="199"/>
      <c r="J4355" s="199"/>
    </row>
    <row r="4356" spans="9:10" x14ac:dyDescent="0.25">
      <c r="I4356" s="199"/>
      <c r="J4356" s="199"/>
    </row>
    <row r="4357" spans="9:10" x14ac:dyDescent="0.25">
      <c r="I4357" s="199"/>
      <c r="J4357" s="199"/>
    </row>
    <row r="4358" spans="9:10" x14ac:dyDescent="0.25">
      <c r="I4358" s="199"/>
      <c r="J4358" s="199"/>
    </row>
    <row r="4359" spans="9:10" x14ac:dyDescent="0.25">
      <c r="I4359" s="199"/>
      <c r="J4359" s="199"/>
    </row>
    <row r="4360" spans="9:10" x14ac:dyDescent="0.25">
      <c r="I4360" s="199"/>
      <c r="J4360" s="199"/>
    </row>
    <row r="4361" spans="9:10" x14ac:dyDescent="0.25">
      <c r="I4361" s="199"/>
      <c r="J4361" s="199"/>
    </row>
    <row r="4362" spans="9:10" x14ac:dyDescent="0.25">
      <c r="I4362" s="199"/>
      <c r="J4362" s="199"/>
    </row>
    <row r="4363" spans="9:10" x14ac:dyDescent="0.25">
      <c r="I4363" s="199"/>
      <c r="J4363" s="199"/>
    </row>
    <row r="4364" spans="9:10" x14ac:dyDescent="0.25">
      <c r="I4364" s="199"/>
      <c r="J4364" s="199"/>
    </row>
    <row r="4365" spans="9:10" x14ac:dyDescent="0.25">
      <c r="I4365" s="199"/>
      <c r="J4365" s="199"/>
    </row>
    <row r="4366" spans="9:10" x14ac:dyDescent="0.25">
      <c r="I4366" s="199"/>
      <c r="J4366" s="199"/>
    </row>
    <row r="4367" spans="9:10" x14ac:dyDescent="0.25">
      <c r="I4367" s="199"/>
      <c r="J4367" s="199"/>
    </row>
    <row r="4368" spans="9:10" x14ac:dyDescent="0.25">
      <c r="I4368" s="199"/>
      <c r="J4368" s="199"/>
    </row>
    <row r="4369" spans="9:10" x14ac:dyDescent="0.25">
      <c r="I4369" s="199"/>
      <c r="J4369" s="199"/>
    </row>
    <row r="4370" spans="9:10" x14ac:dyDescent="0.25">
      <c r="I4370" s="199"/>
      <c r="J4370" s="199"/>
    </row>
    <row r="4371" spans="9:10" x14ac:dyDescent="0.25">
      <c r="I4371" s="199"/>
      <c r="J4371" s="199"/>
    </row>
    <row r="4372" spans="9:10" x14ac:dyDescent="0.25">
      <c r="I4372" s="199"/>
      <c r="J4372" s="199"/>
    </row>
    <row r="4373" spans="9:10" x14ac:dyDescent="0.25">
      <c r="I4373" s="199"/>
      <c r="J4373" s="199"/>
    </row>
    <row r="4374" spans="9:10" x14ac:dyDescent="0.25">
      <c r="I4374" s="199"/>
      <c r="J4374" s="199"/>
    </row>
    <row r="4375" spans="9:10" x14ac:dyDescent="0.25">
      <c r="I4375" s="199"/>
      <c r="J4375" s="199"/>
    </row>
    <row r="4376" spans="9:10" x14ac:dyDescent="0.25">
      <c r="I4376" s="199"/>
      <c r="J4376" s="199"/>
    </row>
    <row r="4377" spans="9:10" x14ac:dyDescent="0.25">
      <c r="I4377" s="199"/>
      <c r="J4377" s="199"/>
    </row>
    <row r="4378" spans="9:10" x14ac:dyDescent="0.25">
      <c r="I4378" s="199"/>
      <c r="J4378" s="199"/>
    </row>
    <row r="4379" spans="9:10" x14ac:dyDescent="0.25">
      <c r="I4379" s="199"/>
      <c r="J4379" s="199"/>
    </row>
    <row r="4380" spans="9:10" x14ac:dyDescent="0.25">
      <c r="I4380" s="199"/>
      <c r="J4380" s="199"/>
    </row>
    <row r="4381" spans="9:10" x14ac:dyDescent="0.25">
      <c r="I4381" s="199"/>
      <c r="J4381" s="199"/>
    </row>
    <row r="4382" spans="9:10" x14ac:dyDescent="0.25">
      <c r="I4382" s="199"/>
      <c r="J4382" s="199"/>
    </row>
    <row r="4383" spans="9:10" x14ac:dyDescent="0.25">
      <c r="I4383" s="199"/>
      <c r="J4383" s="199"/>
    </row>
    <row r="4384" spans="9:10" x14ac:dyDescent="0.25">
      <c r="I4384" s="199"/>
      <c r="J4384" s="199"/>
    </row>
    <row r="4385" spans="9:10" x14ac:dyDescent="0.25">
      <c r="I4385" s="199"/>
      <c r="J4385" s="199"/>
    </row>
    <row r="4386" spans="9:10" x14ac:dyDescent="0.25">
      <c r="I4386" s="199"/>
      <c r="J4386" s="199"/>
    </row>
    <row r="4387" spans="9:10" x14ac:dyDescent="0.25">
      <c r="I4387" s="199"/>
      <c r="J4387" s="199"/>
    </row>
    <row r="4388" spans="9:10" x14ac:dyDescent="0.25">
      <c r="I4388" s="199"/>
      <c r="J4388" s="199"/>
    </row>
    <row r="4389" spans="9:10" x14ac:dyDescent="0.25">
      <c r="I4389" s="199"/>
      <c r="J4389" s="199"/>
    </row>
    <row r="4390" spans="9:10" x14ac:dyDescent="0.25">
      <c r="I4390" s="199"/>
      <c r="J4390" s="199"/>
    </row>
    <row r="4391" spans="9:10" x14ac:dyDescent="0.25">
      <c r="I4391" s="199"/>
      <c r="J4391" s="199"/>
    </row>
    <row r="4392" spans="9:10" x14ac:dyDescent="0.25">
      <c r="I4392" s="199"/>
      <c r="J4392" s="199"/>
    </row>
    <row r="4393" spans="9:10" x14ac:dyDescent="0.25">
      <c r="I4393" s="199"/>
      <c r="J4393" s="199"/>
    </row>
    <row r="4394" spans="9:10" x14ac:dyDescent="0.25">
      <c r="I4394" s="199"/>
      <c r="J4394" s="199"/>
    </row>
    <row r="4395" spans="9:10" x14ac:dyDescent="0.25">
      <c r="I4395" s="199"/>
      <c r="J4395" s="199"/>
    </row>
    <row r="4396" spans="9:10" x14ac:dyDescent="0.25">
      <c r="I4396" s="199"/>
      <c r="J4396" s="199"/>
    </row>
    <row r="4397" spans="9:10" x14ac:dyDescent="0.25">
      <c r="I4397" s="199"/>
      <c r="J4397" s="199"/>
    </row>
    <row r="4398" spans="9:10" x14ac:dyDescent="0.25">
      <c r="I4398" s="199"/>
      <c r="J4398" s="199"/>
    </row>
    <row r="4399" spans="9:10" x14ac:dyDescent="0.25">
      <c r="I4399" s="199"/>
      <c r="J4399" s="199"/>
    </row>
    <row r="4400" spans="9:10" x14ac:dyDescent="0.25">
      <c r="I4400" s="199"/>
      <c r="J4400" s="199"/>
    </row>
    <row r="4401" spans="9:10" x14ac:dyDescent="0.25">
      <c r="I4401" s="199"/>
      <c r="J4401" s="199"/>
    </row>
    <row r="4402" spans="9:10" x14ac:dyDescent="0.25">
      <c r="I4402" s="199"/>
      <c r="J4402" s="199"/>
    </row>
    <row r="4403" spans="9:10" x14ac:dyDescent="0.25">
      <c r="I4403" s="199"/>
      <c r="J4403" s="199"/>
    </row>
    <row r="4404" spans="9:10" x14ac:dyDescent="0.25">
      <c r="I4404" s="199"/>
      <c r="J4404" s="199"/>
    </row>
    <row r="4405" spans="9:10" x14ac:dyDescent="0.25">
      <c r="I4405" s="199"/>
      <c r="J4405" s="199"/>
    </row>
    <row r="4406" spans="9:10" x14ac:dyDescent="0.25">
      <c r="I4406" s="199"/>
      <c r="J4406" s="199"/>
    </row>
    <row r="4407" spans="9:10" x14ac:dyDescent="0.25">
      <c r="I4407" s="199"/>
      <c r="J4407" s="199"/>
    </row>
    <row r="4408" spans="9:10" x14ac:dyDescent="0.25">
      <c r="I4408" s="199"/>
      <c r="J4408" s="199"/>
    </row>
    <row r="4409" spans="9:10" x14ac:dyDescent="0.25">
      <c r="I4409" s="199"/>
      <c r="J4409" s="199"/>
    </row>
    <row r="4410" spans="9:10" x14ac:dyDescent="0.25">
      <c r="I4410" s="199"/>
      <c r="J4410" s="199"/>
    </row>
    <row r="4411" spans="9:10" x14ac:dyDescent="0.25">
      <c r="I4411" s="199"/>
      <c r="J4411" s="199"/>
    </row>
    <row r="4412" spans="9:10" x14ac:dyDescent="0.25">
      <c r="I4412" s="199"/>
      <c r="J4412" s="199"/>
    </row>
    <row r="4413" spans="9:10" x14ac:dyDescent="0.25">
      <c r="I4413" s="199"/>
      <c r="J4413" s="199"/>
    </row>
    <row r="4414" spans="9:10" x14ac:dyDescent="0.25">
      <c r="I4414" s="199"/>
      <c r="J4414" s="199"/>
    </row>
    <row r="4415" spans="9:10" x14ac:dyDescent="0.25">
      <c r="I4415" s="199"/>
      <c r="J4415" s="199"/>
    </row>
    <row r="4416" spans="9:10" x14ac:dyDescent="0.25">
      <c r="I4416" s="199"/>
      <c r="J4416" s="199"/>
    </row>
    <row r="4417" spans="9:10" x14ac:dyDescent="0.25">
      <c r="I4417" s="199"/>
      <c r="J4417" s="199"/>
    </row>
    <row r="4418" spans="9:10" x14ac:dyDescent="0.25">
      <c r="I4418" s="199"/>
      <c r="J4418" s="199"/>
    </row>
    <row r="4419" spans="9:10" x14ac:dyDescent="0.25">
      <c r="I4419" s="199"/>
      <c r="J4419" s="199"/>
    </row>
    <row r="4420" spans="9:10" x14ac:dyDescent="0.25">
      <c r="I4420" s="199"/>
      <c r="J4420" s="199"/>
    </row>
    <row r="4421" spans="9:10" x14ac:dyDescent="0.25">
      <c r="I4421" s="199"/>
      <c r="J4421" s="199"/>
    </row>
    <row r="4422" spans="9:10" x14ac:dyDescent="0.25">
      <c r="I4422" s="199"/>
      <c r="J4422" s="199"/>
    </row>
    <row r="4423" spans="9:10" x14ac:dyDescent="0.25">
      <c r="I4423" s="199"/>
      <c r="J4423" s="199"/>
    </row>
    <row r="4424" spans="9:10" x14ac:dyDescent="0.25">
      <c r="I4424" s="199"/>
      <c r="J4424" s="199"/>
    </row>
    <row r="4425" spans="9:10" x14ac:dyDescent="0.25">
      <c r="I4425" s="199"/>
      <c r="J4425" s="199"/>
    </row>
    <row r="4426" spans="9:10" x14ac:dyDescent="0.25">
      <c r="I4426" s="199"/>
      <c r="J4426" s="199"/>
    </row>
    <row r="4427" spans="9:10" x14ac:dyDescent="0.25">
      <c r="I4427" s="199"/>
      <c r="J4427" s="199"/>
    </row>
    <row r="4428" spans="9:10" x14ac:dyDescent="0.25">
      <c r="I4428" s="199"/>
      <c r="J4428" s="199"/>
    </row>
    <row r="4429" spans="9:10" x14ac:dyDescent="0.25">
      <c r="I4429" s="199"/>
      <c r="J4429" s="199"/>
    </row>
    <row r="4430" spans="9:10" x14ac:dyDescent="0.25">
      <c r="I4430" s="199"/>
      <c r="J4430" s="199"/>
    </row>
    <row r="4431" spans="9:10" x14ac:dyDescent="0.25">
      <c r="I4431" s="199"/>
      <c r="J4431" s="199"/>
    </row>
    <row r="4432" spans="9:10" x14ac:dyDescent="0.25">
      <c r="I4432" s="199"/>
      <c r="J4432" s="199"/>
    </row>
    <row r="4433" spans="9:10" x14ac:dyDescent="0.25">
      <c r="I4433" s="199"/>
      <c r="J4433" s="199"/>
    </row>
    <row r="4434" spans="9:10" x14ac:dyDescent="0.25">
      <c r="I4434" s="199"/>
      <c r="J4434" s="199"/>
    </row>
    <row r="4435" spans="9:10" x14ac:dyDescent="0.25">
      <c r="I4435" s="199"/>
      <c r="J4435" s="199"/>
    </row>
    <row r="4436" spans="9:10" x14ac:dyDescent="0.25">
      <c r="I4436" s="199"/>
      <c r="J4436" s="199"/>
    </row>
    <row r="4437" spans="9:10" x14ac:dyDescent="0.25">
      <c r="I4437" s="199"/>
      <c r="J4437" s="199"/>
    </row>
    <row r="4438" spans="9:10" x14ac:dyDescent="0.25">
      <c r="I4438" s="199"/>
      <c r="J4438" s="199"/>
    </row>
    <row r="4439" spans="9:10" x14ac:dyDescent="0.25">
      <c r="I4439" s="199"/>
      <c r="J4439" s="199"/>
    </row>
    <row r="4440" spans="9:10" x14ac:dyDescent="0.25">
      <c r="I4440" s="199"/>
      <c r="J4440" s="199"/>
    </row>
    <row r="4441" spans="9:10" x14ac:dyDescent="0.25">
      <c r="I4441" s="199"/>
      <c r="J4441" s="199"/>
    </row>
    <row r="4442" spans="9:10" x14ac:dyDescent="0.25">
      <c r="I4442" s="199"/>
      <c r="J4442" s="199"/>
    </row>
    <row r="4443" spans="9:10" x14ac:dyDescent="0.25">
      <c r="I4443" s="199"/>
      <c r="J4443" s="199"/>
    </row>
    <row r="4444" spans="9:10" x14ac:dyDescent="0.25">
      <c r="I4444" s="199"/>
      <c r="J4444" s="199"/>
    </row>
    <row r="4445" spans="9:10" x14ac:dyDescent="0.25">
      <c r="I4445" s="199"/>
      <c r="J4445" s="199"/>
    </row>
    <row r="4446" spans="9:10" x14ac:dyDescent="0.25">
      <c r="I4446" s="199"/>
      <c r="J4446" s="199"/>
    </row>
    <row r="4447" spans="9:10" x14ac:dyDescent="0.25">
      <c r="I4447" s="199"/>
      <c r="J4447" s="199"/>
    </row>
    <row r="4448" spans="9:10" x14ac:dyDescent="0.25">
      <c r="I4448" s="199"/>
      <c r="J4448" s="199"/>
    </row>
    <row r="4449" spans="9:10" x14ac:dyDescent="0.25">
      <c r="I4449" s="199"/>
      <c r="J4449" s="199"/>
    </row>
    <row r="4450" spans="9:10" x14ac:dyDescent="0.25">
      <c r="I4450" s="199"/>
      <c r="J4450" s="199"/>
    </row>
    <row r="4451" spans="9:10" x14ac:dyDescent="0.25">
      <c r="I4451" s="199"/>
      <c r="J4451" s="199"/>
    </row>
    <row r="4452" spans="9:10" x14ac:dyDescent="0.25">
      <c r="I4452" s="199"/>
      <c r="J4452" s="199"/>
    </row>
    <row r="4453" spans="9:10" x14ac:dyDescent="0.25">
      <c r="I4453" s="199"/>
      <c r="J4453" s="199"/>
    </row>
    <row r="4454" spans="9:10" x14ac:dyDescent="0.25">
      <c r="I4454" s="199"/>
      <c r="J4454" s="199"/>
    </row>
    <row r="4455" spans="9:10" x14ac:dyDescent="0.25">
      <c r="I4455" s="199"/>
      <c r="J4455" s="199"/>
    </row>
    <row r="4456" spans="9:10" x14ac:dyDescent="0.25">
      <c r="I4456" s="199"/>
      <c r="J4456" s="199"/>
    </row>
    <row r="4457" spans="9:10" x14ac:dyDescent="0.25">
      <c r="I4457" s="199"/>
      <c r="J4457" s="199"/>
    </row>
    <row r="4458" spans="9:10" x14ac:dyDescent="0.25">
      <c r="I4458" s="199"/>
      <c r="J4458" s="199"/>
    </row>
    <row r="4459" spans="9:10" x14ac:dyDescent="0.25">
      <c r="I4459" s="199"/>
      <c r="J4459" s="199"/>
    </row>
    <row r="4460" spans="9:10" x14ac:dyDescent="0.25">
      <c r="I4460" s="199"/>
      <c r="J4460" s="199"/>
    </row>
    <row r="4461" spans="9:10" x14ac:dyDescent="0.25">
      <c r="I4461" s="199"/>
      <c r="J4461" s="199"/>
    </row>
    <row r="4462" spans="9:10" x14ac:dyDescent="0.25">
      <c r="I4462" s="199"/>
      <c r="J4462" s="199"/>
    </row>
    <row r="4463" spans="9:10" x14ac:dyDescent="0.25">
      <c r="I4463" s="199"/>
      <c r="J4463" s="199"/>
    </row>
    <row r="4464" spans="9:10" x14ac:dyDescent="0.25">
      <c r="I4464" s="199"/>
      <c r="J4464" s="199"/>
    </row>
    <row r="4465" spans="9:10" x14ac:dyDescent="0.25">
      <c r="I4465" s="199"/>
      <c r="J4465" s="199"/>
    </row>
    <row r="4466" spans="9:10" x14ac:dyDescent="0.25">
      <c r="I4466" s="199"/>
      <c r="J4466" s="199"/>
    </row>
    <row r="4467" spans="9:10" x14ac:dyDescent="0.25">
      <c r="I4467" s="199"/>
      <c r="J4467" s="199"/>
    </row>
    <row r="4468" spans="9:10" x14ac:dyDescent="0.25">
      <c r="I4468" s="199"/>
      <c r="J4468" s="199"/>
    </row>
    <row r="4469" spans="9:10" x14ac:dyDescent="0.25">
      <c r="I4469" s="199"/>
      <c r="J4469" s="199"/>
    </row>
    <row r="4470" spans="9:10" x14ac:dyDescent="0.25">
      <c r="I4470" s="199"/>
      <c r="J4470" s="199"/>
    </row>
    <row r="4471" spans="9:10" x14ac:dyDescent="0.25">
      <c r="I4471" s="199"/>
      <c r="J4471" s="199"/>
    </row>
    <row r="4472" spans="9:10" x14ac:dyDescent="0.25">
      <c r="I4472" s="199"/>
      <c r="J4472" s="199"/>
    </row>
    <row r="4473" spans="9:10" x14ac:dyDescent="0.25">
      <c r="I4473" s="199"/>
      <c r="J4473" s="199"/>
    </row>
    <row r="4474" spans="9:10" x14ac:dyDescent="0.25">
      <c r="I4474" s="199"/>
      <c r="J4474" s="199"/>
    </row>
    <row r="4475" spans="9:10" x14ac:dyDescent="0.25">
      <c r="I4475" s="199"/>
      <c r="J4475" s="199"/>
    </row>
    <row r="4476" spans="9:10" x14ac:dyDescent="0.25">
      <c r="I4476" s="199"/>
      <c r="J4476" s="199"/>
    </row>
    <row r="4477" spans="9:10" x14ac:dyDescent="0.25">
      <c r="I4477" s="199"/>
      <c r="J4477" s="199"/>
    </row>
    <row r="4478" spans="9:10" x14ac:dyDescent="0.25">
      <c r="I4478" s="199"/>
      <c r="J4478" s="199"/>
    </row>
    <row r="4479" spans="9:10" x14ac:dyDescent="0.25">
      <c r="I4479" s="199"/>
      <c r="J4479" s="199"/>
    </row>
    <row r="4480" spans="9:10" x14ac:dyDescent="0.25">
      <c r="I4480" s="199"/>
      <c r="J4480" s="199"/>
    </row>
    <row r="4481" spans="9:10" x14ac:dyDescent="0.25">
      <c r="I4481" s="199"/>
      <c r="J4481" s="199"/>
    </row>
    <row r="4482" spans="9:10" x14ac:dyDescent="0.25">
      <c r="I4482" s="199"/>
      <c r="J4482" s="199"/>
    </row>
    <row r="4483" spans="9:10" x14ac:dyDescent="0.25">
      <c r="I4483" s="199"/>
      <c r="J4483" s="199"/>
    </row>
    <row r="4484" spans="9:10" x14ac:dyDescent="0.25">
      <c r="I4484" s="199"/>
      <c r="J4484" s="199"/>
    </row>
    <row r="4485" spans="9:10" x14ac:dyDescent="0.25">
      <c r="I4485" s="199"/>
      <c r="J4485" s="199"/>
    </row>
    <row r="4486" spans="9:10" x14ac:dyDescent="0.25">
      <c r="I4486" s="199"/>
      <c r="J4486" s="199"/>
    </row>
    <row r="4487" spans="9:10" x14ac:dyDescent="0.25">
      <c r="I4487" s="199"/>
      <c r="J4487" s="199"/>
    </row>
    <row r="4488" spans="9:10" x14ac:dyDescent="0.25">
      <c r="I4488" s="199"/>
      <c r="J4488" s="199"/>
    </row>
    <row r="4489" spans="9:10" x14ac:dyDescent="0.25">
      <c r="I4489" s="199"/>
      <c r="J4489" s="199"/>
    </row>
    <row r="4490" spans="9:10" x14ac:dyDescent="0.25">
      <c r="I4490" s="199"/>
      <c r="J4490" s="199"/>
    </row>
    <row r="4491" spans="9:10" x14ac:dyDescent="0.25">
      <c r="I4491" s="199"/>
      <c r="J4491" s="199"/>
    </row>
    <row r="4492" spans="9:10" x14ac:dyDescent="0.25">
      <c r="I4492" s="199"/>
      <c r="J4492" s="199"/>
    </row>
    <row r="4493" spans="9:10" x14ac:dyDescent="0.25">
      <c r="I4493" s="199"/>
      <c r="J4493" s="199"/>
    </row>
    <row r="4494" spans="9:10" x14ac:dyDescent="0.25">
      <c r="I4494" s="199"/>
      <c r="J4494" s="199"/>
    </row>
    <row r="4495" spans="9:10" x14ac:dyDescent="0.25">
      <c r="I4495" s="199"/>
      <c r="J4495" s="199"/>
    </row>
    <row r="4496" spans="9:10" x14ac:dyDescent="0.25">
      <c r="I4496" s="199"/>
      <c r="J4496" s="199"/>
    </row>
    <row r="4497" spans="9:10" x14ac:dyDescent="0.25">
      <c r="I4497" s="199"/>
      <c r="J4497" s="199"/>
    </row>
    <row r="4498" spans="9:10" x14ac:dyDescent="0.25">
      <c r="I4498" s="199"/>
      <c r="J4498" s="199"/>
    </row>
    <row r="4499" spans="9:10" x14ac:dyDescent="0.25">
      <c r="I4499" s="199"/>
      <c r="J4499" s="199"/>
    </row>
    <row r="4500" spans="9:10" x14ac:dyDescent="0.25">
      <c r="I4500" s="199"/>
      <c r="J4500" s="199"/>
    </row>
    <row r="4501" spans="9:10" x14ac:dyDescent="0.25">
      <c r="I4501" s="199"/>
      <c r="J4501" s="199"/>
    </row>
    <row r="4502" spans="9:10" x14ac:dyDescent="0.25">
      <c r="I4502" s="199"/>
      <c r="J4502" s="199"/>
    </row>
    <row r="4503" spans="9:10" x14ac:dyDescent="0.25">
      <c r="I4503" s="199"/>
      <c r="J4503" s="199"/>
    </row>
    <row r="4504" spans="9:10" x14ac:dyDescent="0.25">
      <c r="I4504" s="199"/>
      <c r="J4504" s="199"/>
    </row>
    <row r="4505" spans="9:10" x14ac:dyDescent="0.25">
      <c r="I4505" s="199"/>
      <c r="J4505" s="199"/>
    </row>
    <row r="4506" spans="9:10" x14ac:dyDescent="0.25">
      <c r="I4506" s="199"/>
      <c r="J4506" s="199"/>
    </row>
    <row r="4507" spans="9:10" x14ac:dyDescent="0.25">
      <c r="I4507" s="199"/>
      <c r="J4507" s="199"/>
    </row>
    <row r="4508" spans="9:10" x14ac:dyDescent="0.25">
      <c r="I4508" s="199"/>
      <c r="J4508" s="199"/>
    </row>
    <row r="4509" spans="9:10" x14ac:dyDescent="0.25">
      <c r="I4509" s="199"/>
      <c r="J4509" s="199"/>
    </row>
    <row r="4510" spans="9:10" x14ac:dyDescent="0.25">
      <c r="I4510" s="199"/>
      <c r="J4510" s="199"/>
    </row>
    <row r="4511" spans="9:10" x14ac:dyDescent="0.25">
      <c r="I4511" s="199"/>
      <c r="J4511" s="199"/>
    </row>
    <row r="4512" spans="9:10" x14ac:dyDescent="0.25">
      <c r="I4512" s="199"/>
      <c r="J4512" s="199"/>
    </row>
    <row r="4513" spans="9:10" x14ac:dyDescent="0.25">
      <c r="I4513" s="199"/>
      <c r="J4513" s="199"/>
    </row>
    <row r="4514" spans="9:10" x14ac:dyDescent="0.25">
      <c r="I4514" s="199"/>
      <c r="J4514" s="199"/>
    </row>
    <row r="4515" spans="9:10" x14ac:dyDescent="0.25">
      <c r="I4515" s="199"/>
      <c r="J4515" s="199"/>
    </row>
    <row r="4516" spans="9:10" x14ac:dyDescent="0.25">
      <c r="I4516" s="199"/>
      <c r="J4516" s="199"/>
    </row>
    <row r="4517" spans="9:10" x14ac:dyDescent="0.25">
      <c r="I4517" s="199"/>
      <c r="J4517" s="199"/>
    </row>
    <row r="4518" spans="9:10" x14ac:dyDescent="0.25">
      <c r="I4518" s="199"/>
      <c r="J4518" s="199"/>
    </row>
    <row r="4519" spans="9:10" x14ac:dyDescent="0.25">
      <c r="I4519" s="199"/>
      <c r="J4519" s="199"/>
    </row>
    <row r="4520" spans="9:10" x14ac:dyDescent="0.25">
      <c r="I4520" s="199"/>
      <c r="J4520" s="199"/>
    </row>
    <row r="4521" spans="9:10" x14ac:dyDescent="0.25">
      <c r="I4521" s="199"/>
      <c r="J4521" s="199"/>
    </row>
    <row r="4522" spans="9:10" x14ac:dyDescent="0.25">
      <c r="I4522" s="199"/>
      <c r="J4522" s="199"/>
    </row>
    <row r="4523" spans="9:10" x14ac:dyDescent="0.25">
      <c r="I4523" s="199"/>
      <c r="J4523" s="199"/>
    </row>
    <row r="4524" spans="9:10" x14ac:dyDescent="0.25">
      <c r="I4524" s="199"/>
      <c r="J4524" s="199"/>
    </row>
    <row r="4525" spans="9:10" x14ac:dyDescent="0.25">
      <c r="I4525" s="199"/>
      <c r="J4525" s="199"/>
    </row>
    <row r="4526" spans="9:10" x14ac:dyDescent="0.25">
      <c r="I4526" s="199"/>
      <c r="J4526" s="199"/>
    </row>
    <row r="4527" spans="9:10" x14ac:dyDescent="0.25">
      <c r="I4527" s="199"/>
      <c r="J4527" s="199"/>
    </row>
    <row r="4528" spans="9:10" x14ac:dyDescent="0.25">
      <c r="I4528" s="199"/>
      <c r="J4528" s="199"/>
    </row>
    <row r="4529" spans="9:10" x14ac:dyDescent="0.25">
      <c r="I4529" s="199"/>
      <c r="J4529" s="199"/>
    </row>
    <row r="4530" spans="9:10" x14ac:dyDescent="0.25">
      <c r="I4530" s="199"/>
      <c r="J4530" s="199"/>
    </row>
    <row r="4531" spans="9:10" x14ac:dyDescent="0.25">
      <c r="I4531" s="199"/>
      <c r="J4531" s="199"/>
    </row>
    <row r="4532" spans="9:10" x14ac:dyDescent="0.25">
      <c r="I4532" s="199"/>
      <c r="J4532" s="199"/>
    </row>
    <row r="4533" spans="9:10" x14ac:dyDescent="0.25">
      <c r="I4533" s="199"/>
      <c r="J4533" s="199"/>
    </row>
    <row r="4534" spans="9:10" x14ac:dyDescent="0.25">
      <c r="I4534" s="199"/>
      <c r="J4534" s="199"/>
    </row>
    <row r="4535" spans="9:10" x14ac:dyDescent="0.25">
      <c r="I4535" s="199"/>
      <c r="J4535" s="199"/>
    </row>
    <row r="4536" spans="9:10" x14ac:dyDescent="0.25">
      <c r="I4536" s="199"/>
      <c r="J4536" s="199"/>
    </row>
    <row r="4537" spans="9:10" x14ac:dyDescent="0.25">
      <c r="I4537" s="199"/>
      <c r="J4537" s="199"/>
    </row>
    <row r="4538" spans="9:10" x14ac:dyDescent="0.25">
      <c r="I4538" s="199"/>
      <c r="J4538" s="199"/>
    </row>
    <row r="4539" spans="9:10" x14ac:dyDescent="0.25">
      <c r="I4539" s="199"/>
      <c r="J4539" s="199"/>
    </row>
    <row r="4540" spans="9:10" x14ac:dyDescent="0.25">
      <c r="I4540" s="199"/>
      <c r="J4540" s="199"/>
    </row>
    <row r="4541" spans="9:10" x14ac:dyDescent="0.25">
      <c r="I4541" s="199"/>
      <c r="J4541" s="199"/>
    </row>
    <row r="4542" spans="9:10" x14ac:dyDescent="0.25">
      <c r="I4542" s="199"/>
      <c r="J4542" s="199"/>
    </row>
    <row r="4543" spans="9:10" x14ac:dyDescent="0.25">
      <c r="I4543" s="199"/>
      <c r="J4543" s="199"/>
    </row>
    <row r="4544" spans="9:10" x14ac:dyDescent="0.25">
      <c r="I4544" s="199"/>
      <c r="J4544" s="199"/>
    </row>
    <row r="4545" spans="9:10" x14ac:dyDescent="0.25">
      <c r="I4545" s="199"/>
      <c r="J4545" s="199"/>
    </row>
    <row r="4546" spans="9:10" x14ac:dyDescent="0.25">
      <c r="I4546" s="199"/>
      <c r="J4546" s="199"/>
    </row>
    <row r="4547" spans="9:10" x14ac:dyDescent="0.25">
      <c r="I4547" s="199"/>
      <c r="J4547" s="199"/>
    </row>
    <row r="4548" spans="9:10" x14ac:dyDescent="0.25">
      <c r="I4548" s="199"/>
      <c r="J4548" s="199"/>
    </row>
    <row r="4549" spans="9:10" x14ac:dyDescent="0.25">
      <c r="I4549" s="199"/>
      <c r="J4549" s="199"/>
    </row>
    <row r="4550" spans="9:10" x14ac:dyDescent="0.25">
      <c r="I4550" s="199"/>
      <c r="J4550" s="199"/>
    </row>
    <row r="4551" spans="9:10" x14ac:dyDescent="0.25">
      <c r="I4551" s="199"/>
      <c r="J4551" s="199"/>
    </row>
    <row r="4552" spans="9:10" x14ac:dyDescent="0.25">
      <c r="I4552" s="199"/>
      <c r="J4552" s="199"/>
    </row>
    <row r="4553" spans="9:10" x14ac:dyDescent="0.25">
      <c r="I4553" s="199"/>
      <c r="J4553" s="199"/>
    </row>
    <row r="4554" spans="9:10" x14ac:dyDescent="0.25">
      <c r="I4554" s="199"/>
      <c r="J4554" s="199"/>
    </row>
    <row r="4555" spans="9:10" x14ac:dyDescent="0.25">
      <c r="I4555" s="199"/>
      <c r="J4555" s="199"/>
    </row>
    <row r="4556" spans="9:10" x14ac:dyDescent="0.25">
      <c r="I4556" s="199"/>
      <c r="J4556" s="199"/>
    </row>
    <row r="4557" spans="9:10" x14ac:dyDescent="0.25">
      <c r="I4557" s="199"/>
      <c r="J4557" s="199"/>
    </row>
    <row r="4558" spans="9:10" x14ac:dyDescent="0.25">
      <c r="I4558" s="199"/>
      <c r="J4558" s="199"/>
    </row>
    <row r="4559" spans="9:10" x14ac:dyDescent="0.25">
      <c r="I4559" s="199"/>
      <c r="J4559" s="199"/>
    </row>
    <row r="4560" spans="9:10" x14ac:dyDescent="0.25">
      <c r="I4560" s="199"/>
      <c r="J4560" s="199"/>
    </row>
    <row r="4561" spans="9:10" x14ac:dyDescent="0.25">
      <c r="I4561" s="199"/>
      <c r="J4561" s="199"/>
    </row>
    <row r="4562" spans="9:10" x14ac:dyDescent="0.25">
      <c r="I4562" s="199"/>
      <c r="J4562" s="199"/>
    </row>
    <row r="4563" spans="9:10" x14ac:dyDescent="0.25">
      <c r="I4563" s="199"/>
      <c r="J4563" s="199"/>
    </row>
    <row r="4564" spans="9:10" x14ac:dyDescent="0.25">
      <c r="I4564" s="199"/>
      <c r="J4564" s="199"/>
    </row>
    <row r="4565" spans="9:10" x14ac:dyDescent="0.25">
      <c r="I4565" s="199"/>
      <c r="J4565" s="199"/>
    </row>
    <row r="4566" spans="9:10" x14ac:dyDescent="0.25">
      <c r="I4566" s="199"/>
      <c r="J4566" s="199"/>
    </row>
    <row r="4567" spans="9:10" x14ac:dyDescent="0.25">
      <c r="I4567" s="199"/>
      <c r="J4567" s="199"/>
    </row>
    <row r="4568" spans="9:10" x14ac:dyDescent="0.25">
      <c r="I4568" s="199"/>
      <c r="J4568" s="199"/>
    </row>
    <row r="4569" spans="9:10" x14ac:dyDescent="0.25">
      <c r="I4569" s="199"/>
      <c r="J4569" s="199"/>
    </row>
    <row r="4570" spans="9:10" x14ac:dyDescent="0.25">
      <c r="I4570" s="199"/>
      <c r="J4570" s="199"/>
    </row>
    <row r="4571" spans="9:10" x14ac:dyDescent="0.25">
      <c r="I4571" s="199"/>
      <c r="J4571" s="199"/>
    </row>
    <row r="4572" spans="9:10" x14ac:dyDescent="0.25">
      <c r="I4572" s="199"/>
      <c r="J4572" s="199"/>
    </row>
    <row r="4573" spans="9:10" x14ac:dyDescent="0.25">
      <c r="I4573" s="199"/>
      <c r="J4573" s="199"/>
    </row>
    <row r="4574" spans="9:10" x14ac:dyDescent="0.25">
      <c r="I4574" s="199"/>
      <c r="J4574" s="199"/>
    </row>
    <row r="4575" spans="9:10" x14ac:dyDescent="0.25">
      <c r="I4575" s="199"/>
      <c r="J4575" s="199"/>
    </row>
    <row r="4576" spans="9:10" x14ac:dyDescent="0.25">
      <c r="I4576" s="199"/>
      <c r="J4576" s="199"/>
    </row>
    <row r="4577" spans="9:10" x14ac:dyDescent="0.25">
      <c r="I4577" s="199"/>
      <c r="J4577" s="199"/>
    </row>
    <row r="4578" spans="9:10" x14ac:dyDescent="0.25">
      <c r="I4578" s="199"/>
      <c r="J4578" s="199"/>
    </row>
    <row r="4579" spans="9:10" x14ac:dyDescent="0.25">
      <c r="I4579" s="199"/>
      <c r="J4579" s="199"/>
    </row>
    <row r="4580" spans="9:10" x14ac:dyDescent="0.25">
      <c r="I4580" s="199"/>
      <c r="J4580" s="199"/>
    </row>
    <row r="4581" spans="9:10" x14ac:dyDescent="0.25">
      <c r="I4581" s="199"/>
      <c r="J4581" s="199"/>
    </row>
    <row r="4582" spans="9:10" x14ac:dyDescent="0.25">
      <c r="I4582" s="199"/>
      <c r="J4582" s="199"/>
    </row>
    <row r="4583" spans="9:10" x14ac:dyDescent="0.25">
      <c r="I4583" s="199"/>
      <c r="J4583" s="199"/>
    </row>
    <row r="4584" spans="9:10" x14ac:dyDescent="0.25">
      <c r="I4584" s="199"/>
      <c r="J4584" s="199"/>
    </row>
    <row r="4585" spans="9:10" x14ac:dyDescent="0.25">
      <c r="I4585" s="199"/>
      <c r="J4585" s="199"/>
    </row>
    <row r="4586" spans="9:10" x14ac:dyDescent="0.25">
      <c r="I4586" s="199"/>
      <c r="J4586" s="199"/>
    </row>
    <row r="4587" spans="9:10" x14ac:dyDescent="0.25">
      <c r="I4587" s="199"/>
      <c r="J4587" s="199"/>
    </row>
    <row r="4588" spans="9:10" x14ac:dyDescent="0.25">
      <c r="I4588" s="199"/>
      <c r="J4588" s="199"/>
    </row>
    <row r="4589" spans="9:10" x14ac:dyDescent="0.25">
      <c r="I4589" s="199"/>
      <c r="J4589" s="199"/>
    </row>
    <row r="4590" spans="9:10" x14ac:dyDescent="0.25">
      <c r="I4590" s="199"/>
      <c r="J4590" s="199"/>
    </row>
    <row r="4591" spans="9:10" x14ac:dyDescent="0.25">
      <c r="I4591" s="199"/>
      <c r="J4591" s="199"/>
    </row>
    <row r="4592" spans="9:10" x14ac:dyDescent="0.25">
      <c r="I4592" s="199"/>
      <c r="J4592" s="199"/>
    </row>
    <row r="4593" spans="9:10" x14ac:dyDescent="0.25">
      <c r="I4593" s="199"/>
      <c r="J4593" s="199"/>
    </row>
    <row r="4594" spans="9:10" x14ac:dyDescent="0.25">
      <c r="I4594" s="199"/>
      <c r="J4594" s="199"/>
    </row>
    <row r="4595" spans="9:10" x14ac:dyDescent="0.25">
      <c r="I4595" s="199"/>
      <c r="J4595" s="199"/>
    </row>
    <row r="4596" spans="9:10" x14ac:dyDescent="0.25">
      <c r="I4596" s="199"/>
      <c r="J4596" s="199"/>
    </row>
    <row r="4597" spans="9:10" x14ac:dyDescent="0.25">
      <c r="I4597" s="199"/>
      <c r="J4597" s="199"/>
    </row>
    <row r="4598" spans="9:10" x14ac:dyDescent="0.25">
      <c r="I4598" s="199"/>
      <c r="J4598" s="199"/>
    </row>
    <row r="4599" spans="9:10" x14ac:dyDescent="0.25">
      <c r="I4599" s="199"/>
      <c r="J4599" s="199"/>
    </row>
    <row r="4600" spans="9:10" x14ac:dyDescent="0.25">
      <c r="I4600" s="199"/>
      <c r="J4600" s="199"/>
    </row>
    <row r="4601" spans="9:10" x14ac:dyDescent="0.25">
      <c r="I4601" s="199"/>
      <c r="J4601" s="199"/>
    </row>
    <row r="4602" spans="9:10" x14ac:dyDescent="0.25">
      <c r="I4602" s="199"/>
      <c r="J4602" s="199"/>
    </row>
    <row r="4603" spans="9:10" x14ac:dyDescent="0.25">
      <c r="I4603" s="199"/>
      <c r="J4603" s="199"/>
    </row>
    <row r="4604" spans="9:10" x14ac:dyDescent="0.25">
      <c r="I4604" s="199"/>
      <c r="J4604" s="199"/>
    </row>
    <row r="4605" spans="9:10" x14ac:dyDescent="0.25">
      <c r="I4605" s="199"/>
      <c r="J4605" s="199"/>
    </row>
    <row r="4606" spans="9:10" x14ac:dyDescent="0.25">
      <c r="I4606" s="199"/>
      <c r="J4606" s="199"/>
    </row>
    <row r="4607" spans="9:10" x14ac:dyDescent="0.25">
      <c r="I4607" s="199"/>
      <c r="J4607" s="199"/>
    </row>
    <row r="4608" spans="9:10" x14ac:dyDescent="0.25">
      <c r="I4608" s="199"/>
      <c r="J4608" s="199"/>
    </row>
    <row r="4609" spans="9:10" x14ac:dyDescent="0.25">
      <c r="I4609" s="199"/>
      <c r="J4609" s="199"/>
    </row>
    <row r="4610" spans="9:10" x14ac:dyDescent="0.25">
      <c r="I4610" s="199"/>
      <c r="J4610" s="199"/>
    </row>
    <row r="4611" spans="9:10" x14ac:dyDescent="0.25">
      <c r="I4611" s="199"/>
      <c r="J4611" s="199"/>
    </row>
    <row r="4612" spans="9:10" x14ac:dyDescent="0.25">
      <c r="I4612" s="199"/>
      <c r="J4612" s="199"/>
    </row>
    <row r="4613" spans="9:10" x14ac:dyDescent="0.25">
      <c r="I4613" s="199"/>
      <c r="J4613" s="199"/>
    </row>
    <row r="4614" spans="9:10" x14ac:dyDescent="0.25">
      <c r="I4614" s="199"/>
      <c r="J4614" s="199"/>
    </row>
    <row r="4615" spans="9:10" x14ac:dyDescent="0.25">
      <c r="I4615" s="199"/>
      <c r="J4615" s="199"/>
    </row>
    <row r="4616" spans="9:10" x14ac:dyDescent="0.25">
      <c r="I4616" s="199"/>
      <c r="J4616" s="199"/>
    </row>
    <row r="4617" spans="9:10" x14ac:dyDescent="0.25">
      <c r="I4617" s="199"/>
      <c r="J4617" s="199"/>
    </row>
    <row r="4618" spans="9:10" x14ac:dyDescent="0.25">
      <c r="I4618" s="199"/>
      <c r="J4618" s="199"/>
    </row>
    <row r="4619" spans="9:10" x14ac:dyDescent="0.25">
      <c r="I4619" s="199"/>
      <c r="J4619" s="199"/>
    </row>
    <row r="4620" spans="9:10" x14ac:dyDescent="0.25">
      <c r="I4620" s="199"/>
      <c r="J4620" s="199"/>
    </row>
    <row r="4621" spans="9:10" x14ac:dyDescent="0.25">
      <c r="I4621" s="199"/>
      <c r="J4621" s="199"/>
    </row>
    <row r="4622" spans="9:10" x14ac:dyDescent="0.25">
      <c r="I4622" s="199"/>
      <c r="J4622" s="199"/>
    </row>
    <row r="4623" spans="9:10" x14ac:dyDescent="0.25">
      <c r="I4623" s="199"/>
      <c r="J4623" s="199"/>
    </row>
    <row r="4624" spans="9:10" x14ac:dyDescent="0.25">
      <c r="I4624" s="199"/>
      <c r="J4624" s="199"/>
    </row>
    <row r="4625" spans="9:10" x14ac:dyDescent="0.25">
      <c r="I4625" s="199"/>
      <c r="J4625" s="199"/>
    </row>
    <row r="4626" spans="9:10" x14ac:dyDescent="0.25">
      <c r="I4626" s="199"/>
      <c r="J4626" s="199"/>
    </row>
    <row r="4627" spans="9:10" x14ac:dyDescent="0.25">
      <c r="I4627" s="199"/>
      <c r="J4627" s="199"/>
    </row>
    <row r="4628" spans="9:10" x14ac:dyDescent="0.25">
      <c r="I4628" s="199"/>
      <c r="J4628" s="199"/>
    </row>
    <row r="4629" spans="9:10" x14ac:dyDescent="0.25">
      <c r="I4629" s="199"/>
      <c r="J4629" s="199"/>
    </row>
    <row r="4630" spans="9:10" x14ac:dyDescent="0.25">
      <c r="I4630" s="199"/>
      <c r="J4630" s="199"/>
    </row>
    <row r="4631" spans="9:10" x14ac:dyDescent="0.25">
      <c r="I4631" s="199"/>
      <c r="J4631" s="199"/>
    </row>
    <row r="4632" spans="9:10" x14ac:dyDescent="0.25">
      <c r="I4632" s="199"/>
      <c r="J4632" s="199"/>
    </row>
    <row r="4633" spans="9:10" x14ac:dyDescent="0.25">
      <c r="I4633" s="199"/>
      <c r="J4633" s="199"/>
    </row>
    <row r="4634" spans="9:10" x14ac:dyDescent="0.25">
      <c r="I4634" s="199"/>
      <c r="J4634" s="199"/>
    </row>
    <row r="4635" spans="9:10" x14ac:dyDescent="0.25">
      <c r="I4635" s="199"/>
      <c r="J4635" s="199"/>
    </row>
    <row r="4636" spans="9:10" x14ac:dyDescent="0.25">
      <c r="I4636" s="199"/>
      <c r="J4636" s="199"/>
    </row>
    <row r="4637" spans="9:10" x14ac:dyDescent="0.25">
      <c r="I4637" s="199"/>
      <c r="J4637" s="199"/>
    </row>
    <row r="4638" spans="9:10" x14ac:dyDescent="0.25">
      <c r="I4638" s="199"/>
      <c r="J4638" s="199"/>
    </row>
    <row r="4639" spans="9:10" x14ac:dyDescent="0.25">
      <c r="I4639" s="199"/>
      <c r="J4639" s="199"/>
    </row>
    <row r="4640" spans="9:10" x14ac:dyDescent="0.25">
      <c r="I4640" s="199"/>
      <c r="J4640" s="199"/>
    </row>
    <row r="4641" spans="9:10" x14ac:dyDescent="0.25">
      <c r="I4641" s="199"/>
      <c r="J4641" s="199"/>
    </row>
    <row r="4642" spans="9:10" x14ac:dyDescent="0.25">
      <c r="I4642" s="199"/>
      <c r="J4642" s="199"/>
    </row>
    <row r="4643" spans="9:10" x14ac:dyDescent="0.25">
      <c r="I4643" s="199"/>
      <c r="J4643" s="199"/>
    </row>
    <row r="4644" spans="9:10" x14ac:dyDescent="0.25">
      <c r="I4644" s="199"/>
      <c r="J4644" s="199"/>
    </row>
    <row r="4645" spans="9:10" x14ac:dyDescent="0.25">
      <c r="I4645" s="199"/>
      <c r="J4645" s="199"/>
    </row>
    <row r="4646" spans="9:10" x14ac:dyDescent="0.25">
      <c r="I4646" s="199"/>
      <c r="J4646" s="199"/>
    </row>
    <row r="4647" spans="9:10" x14ac:dyDescent="0.25">
      <c r="I4647" s="199"/>
      <c r="J4647" s="199"/>
    </row>
    <row r="4648" spans="9:10" x14ac:dyDescent="0.25">
      <c r="I4648" s="199"/>
      <c r="J4648" s="199"/>
    </row>
    <row r="4649" spans="9:10" x14ac:dyDescent="0.25">
      <c r="I4649" s="199"/>
      <c r="J4649" s="199"/>
    </row>
    <row r="4650" spans="9:10" x14ac:dyDescent="0.25">
      <c r="I4650" s="199"/>
      <c r="J4650" s="199"/>
    </row>
    <row r="4651" spans="9:10" x14ac:dyDescent="0.25">
      <c r="I4651" s="199"/>
      <c r="J4651" s="199"/>
    </row>
    <row r="4652" spans="9:10" x14ac:dyDescent="0.25">
      <c r="I4652" s="199"/>
      <c r="J4652" s="199"/>
    </row>
    <row r="4653" spans="9:10" x14ac:dyDescent="0.25">
      <c r="I4653" s="199"/>
      <c r="J4653" s="199"/>
    </row>
    <row r="4654" spans="9:10" x14ac:dyDescent="0.25">
      <c r="I4654" s="199"/>
      <c r="J4654" s="199"/>
    </row>
    <row r="4655" spans="9:10" x14ac:dyDescent="0.25">
      <c r="I4655" s="199"/>
      <c r="J4655" s="199"/>
    </row>
    <row r="4656" spans="9:10" x14ac:dyDescent="0.25">
      <c r="I4656" s="199"/>
      <c r="J4656" s="199"/>
    </row>
    <row r="4657" spans="9:10" x14ac:dyDescent="0.25">
      <c r="I4657" s="199"/>
      <c r="J4657" s="199"/>
    </row>
    <row r="4658" spans="9:10" x14ac:dyDescent="0.25">
      <c r="I4658" s="199"/>
      <c r="J4658" s="199"/>
    </row>
    <row r="4659" spans="9:10" x14ac:dyDescent="0.25">
      <c r="I4659" s="199"/>
      <c r="J4659" s="199"/>
    </row>
    <row r="4660" spans="9:10" x14ac:dyDescent="0.25">
      <c r="I4660" s="199"/>
      <c r="J4660" s="199"/>
    </row>
    <row r="4661" spans="9:10" x14ac:dyDescent="0.25">
      <c r="I4661" s="199"/>
      <c r="J4661" s="199"/>
    </row>
    <row r="4662" spans="9:10" x14ac:dyDescent="0.25">
      <c r="I4662" s="199"/>
      <c r="J4662" s="199"/>
    </row>
    <row r="4663" spans="9:10" x14ac:dyDescent="0.25">
      <c r="I4663" s="199"/>
      <c r="J4663" s="199"/>
    </row>
    <row r="4664" spans="9:10" x14ac:dyDescent="0.25">
      <c r="I4664" s="199"/>
      <c r="J4664" s="199"/>
    </row>
    <row r="4665" spans="9:10" x14ac:dyDescent="0.25">
      <c r="I4665" s="199"/>
      <c r="J4665" s="199"/>
    </row>
    <row r="4666" spans="9:10" x14ac:dyDescent="0.25">
      <c r="I4666" s="199"/>
      <c r="J4666" s="199"/>
    </row>
    <row r="4667" spans="9:10" x14ac:dyDescent="0.25">
      <c r="I4667" s="199"/>
      <c r="J4667" s="199"/>
    </row>
    <row r="4668" spans="9:10" x14ac:dyDescent="0.25">
      <c r="I4668" s="199"/>
      <c r="J4668" s="199"/>
    </row>
    <row r="4669" spans="9:10" x14ac:dyDescent="0.25">
      <c r="I4669" s="199"/>
      <c r="J4669" s="199"/>
    </row>
    <row r="4670" spans="9:10" x14ac:dyDescent="0.25">
      <c r="I4670" s="199"/>
      <c r="J4670" s="199"/>
    </row>
    <row r="4671" spans="9:10" x14ac:dyDescent="0.25">
      <c r="I4671" s="199"/>
      <c r="J4671" s="199"/>
    </row>
    <row r="4672" spans="9:10" x14ac:dyDescent="0.25">
      <c r="I4672" s="199"/>
      <c r="J4672" s="199"/>
    </row>
    <row r="4673" spans="9:10" x14ac:dyDescent="0.25">
      <c r="I4673" s="199"/>
      <c r="J4673" s="199"/>
    </row>
    <row r="4674" spans="9:10" x14ac:dyDescent="0.25">
      <c r="I4674" s="199"/>
      <c r="J4674" s="199"/>
    </row>
    <row r="4675" spans="9:10" x14ac:dyDescent="0.25">
      <c r="I4675" s="199"/>
      <c r="J4675" s="199"/>
    </row>
    <row r="4676" spans="9:10" x14ac:dyDescent="0.25">
      <c r="I4676" s="199"/>
      <c r="J4676" s="199"/>
    </row>
    <row r="4677" spans="9:10" x14ac:dyDescent="0.25">
      <c r="I4677" s="199"/>
      <c r="J4677" s="199"/>
    </row>
    <row r="4678" spans="9:10" x14ac:dyDescent="0.25">
      <c r="I4678" s="199"/>
      <c r="J4678" s="199"/>
    </row>
    <row r="4679" spans="9:10" x14ac:dyDescent="0.25">
      <c r="I4679" s="199"/>
      <c r="J4679" s="199"/>
    </row>
    <row r="4680" spans="9:10" x14ac:dyDescent="0.25">
      <c r="I4680" s="199"/>
      <c r="J4680" s="199"/>
    </row>
    <row r="4681" spans="9:10" x14ac:dyDescent="0.25">
      <c r="I4681" s="199"/>
      <c r="J4681" s="199"/>
    </row>
    <row r="4682" spans="9:10" x14ac:dyDescent="0.25">
      <c r="I4682" s="199"/>
      <c r="J4682" s="199"/>
    </row>
    <row r="4683" spans="9:10" x14ac:dyDescent="0.25">
      <c r="I4683" s="199"/>
      <c r="J4683" s="199"/>
    </row>
    <row r="4684" spans="9:10" x14ac:dyDescent="0.25">
      <c r="I4684" s="199"/>
      <c r="J4684" s="199"/>
    </row>
    <row r="4685" spans="9:10" x14ac:dyDescent="0.25">
      <c r="I4685" s="199"/>
      <c r="J4685" s="199"/>
    </row>
    <row r="4686" spans="9:10" x14ac:dyDescent="0.25">
      <c r="I4686" s="199"/>
      <c r="J4686" s="199"/>
    </row>
    <row r="4687" spans="9:10" x14ac:dyDescent="0.25">
      <c r="I4687" s="199"/>
      <c r="J4687" s="199"/>
    </row>
    <row r="4688" spans="9:10" x14ac:dyDescent="0.25">
      <c r="I4688" s="199"/>
      <c r="J4688" s="199"/>
    </row>
    <row r="4689" spans="9:10" x14ac:dyDescent="0.25">
      <c r="I4689" s="199"/>
      <c r="J4689" s="199"/>
    </row>
    <row r="4690" spans="9:10" x14ac:dyDescent="0.25">
      <c r="I4690" s="199"/>
      <c r="J4690" s="199"/>
    </row>
    <row r="4691" spans="9:10" x14ac:dyDescent="0.25">
      <c r="I4691" s="199"/>
      <c r="J4691" s="199"/>
    </row>
    <row r="4692" spans="9:10" x14ac:dyDescent="0.25">
      <c r="I4692" s="199"/>
      <c r="J4692" s="199"/>
    </row>
    <row r="4693" spans="9:10" x14ac:dyDescent="0.25">
      <c r="I4693" s="199"/>
      <c r="J4693" s="199"/>
    </row>
    <row r="4694" spans="9:10" x14ac:dyDescent="0.25">
      <c r="I4694" s="199"/>
      <c r="J4694" s="199"/>
    </row>
    <row r="4695" spans="9:10" x14ac:dyDescent="0.25">
      <c r="I4695" s="199"/>
      <c r="J4695" s="199"/>
    </row>
    <row r="4696" spans="9:10" x14ac:dyDescent="0.25">
      <c r="I4696" s="199"/>
      <c r="J4696" s="199"/>
    </row>
    <row r="4697" spans="9:10" x14ac:dyDescent="0.25">
      <c r="I4697" s="199"/>
      <c r="J4697" s="199"/>
    </row>
    <row r="4698" spans="9:10" x14ac:dyDescent="0.25">
      <c r="I4698" s="199"/>
      <c r="J4698" s="199"/>
    </row>
    <row r="4699" spans="9:10" x14ac:dyDescent="0.25">
      <c r="I4699" s="199"/>
      <c r="J4699" s="199"/>
    </row>
    <row r="4700" spans="9:10" x14ac:dyDescent="0.25">
      <c r="I4700" s="199"/>
      <c r="J4700" s="199"/>
    </row>
    <row r="4701" spans="9:10" x14ac:dyDescent="0.25">
      <c r="I4701" s="199"/>
      <c r="J4701" s="199"/>
    </row>
    <row r="4702" spans="9:10" x14ac:dyDescent="0.25">
      <c r="I4702" s="199"/>
      <c r="J4702" s="199"/>
    </row>
    <row r="4703" spans="9:10" x14ac:dyDescent="0.25">
      <c r="I4703" s="199"/>
      <c r="J4703" s="199"/>
    </row>
    <row r="4704" spans="9:10" x14ac:dyDescent="0.25">
      <c r="I4704" s="199"/>
      <c r="J4704" s="199"/>
    </row>
    <row r="4705" spans="9:10" x14ac:dyDescent="0.25">
      <c r="I4705" s="199"/>
      <c r="J4705" s="199"/>
    </row>
    <row r="4706" spans="9:10" x14ac:dyDescent="0.25">
      <c r="I4706" s="199"/>
      <c r="J4706" s="199"/>
    </row>
    <row r="4707" spans="9:10" x14ac:dyDescent="0.25">
      <c r="I4707" s="199"/>
      <c r="J4707" s="199"/>
    </row>
    <row r="4708" spans="9:10" x14ac:dyDescent="0.25">
      <c r="I4708" s="199"/>
      <c r="J4708" s="199"/>
    </row>
    <row r="4709" spans="9:10" x14ac:dyDescent="0.25">
      <c r="I4709" s="199"/>
      <c r="J4709" s="199"/>
    </row>
    <row r="4710" spans="9:10" x14ac:dyDescent="0.25">
      <c r="I4710" s="199"/>
      <c r="J4710" s="199"/>
    </row>
    <row r="4711" spans="9:10" x14ac:dyDescent="0.25">
      <c r="I4711" s="199"/>
      <c r="J4711" s="199"/>
    </row>
    <row r="4712" spans="9:10" x14ac:dyDescent="0.25">
      <c r="I4712" s="199"/>
      <c r="J4712" s="199"/>
    </row>
    <row r="4713" spans="9:10" x14ac:dyDescent="0.25">
      <c r="I4713" s="199"/>
      <c r="J4713" s="199"/>
    </row>
    <row r="4714" spans="9:10" x14ac:dyDescent="0.25">
      <c r="I4714" s="199"/>
      <c r="J4714" s="199"/>
    </row>
    <row r="4715" spans="9:10" x14ac:dyDescent="0.25">
      <c r="I4715" s="199"/>
      <c r="J4715" s="199"/>
    </row>
    <row r="4716" spans="9:10" x14ac:dyDescent="0.25">
      <c r="I4716" s="199"/>
      <c r="J4716" s="199"/>
    </row>
    <row r="4717" spans="9:10" x14ac:dyDescent="0.25">
      <c r="I4717" s="199"/>
      <c r="J4717" s="199"/>
    </row>
    <row r="4718" spans="9:10" x14ac:dyDescent="0.25">
      <c r="I4718" s="199"/>
      <c r="J4718" s="199"/>
    </row>
    <row r="4719" spans="9:10" x14ac:dyDescent="0.25">
      <c r="I4719" s="199"/>
      <c r="J4719" s="199"/>
    </row>
    <row r="4720" spans="9:10" x14ac:dyDescent="0.25">
      <c r="I4720" s="199"/>
      <c r="J4720" s="199"/>
    </row>
    <row r="4721" spans="9:10" x14ac:dyDescent="0.25">
      <c r="I4721" s="199"/>
      <c r="J4721" s="199"/>
    </row>
    <row r="4722" spans="9:10" x14ac:dyDescent="0.25">
      <c r="I4722" s="199"/>
      <c r="J4722" s="199"/>
    </row>
    <row r="4723" spans="9:10" x14ac:dyDescent="0.25">
      <c r="I4723" s="199"/>
      <c r="J4723" s="199"/>
    </row>
    <row r="4724" spans="9:10" x14ac:dyDescent="0.25">
      <c r="I4724" s="199"/>
      <c r="J4724" s="199"/>
    </row>
    <row r="4725" spans="9:10" x14ac:dyDescent="0.25">
      <c r="I4725" s="199"/>
      <c r="J4725" s="199"/>
    </row>
    <row r="4726" spans="9:10" x14ac:dyDescent="0.25">
      <c r="I4726" s="199"/>
      <c r="J4726" s="199"/>
    </row>
    <row r="4727" spans="9:10" x14ac:dyDescent="0.25">
      <c r="I4727" s="199"/>
      <c r="J4727" s="199"/>
    </row>
    <row r="4728" spans="9:10" x14ac:dyDescent="0.25">
      <c r="I4728" s="199"/>
      <c r="J4728" s="199"/>
    </row>
    <row r="4729" spans="9:10" x14ac:dyDescent="0.25">
      <c r="I4729" s="199"/>
      <c r="J4729" s="199"/>
    </row>
    <row r="4730" spans="9:10" x14ac:dyDescent="0.25">
      <c r="I4730" s="199"/>
      <c r="J4730" s="199"/>
    </row>
    <row r="4731" spans="9:10" x14ac:dyDescent="0.25">
      <c r="I4731" s="199"/>
      <c r="J4731" s="199"/>
    </row>
    <row r="4732" spans="9:10" x14ac:dyDescent="0.25">
      <c r="I4732" s="199"/>
      <c r="J4732" s="199"/>
    </row>
    <row r="4733" spans="9:10" x14ac:dyDescent="0.25">
      <c r="I4733" s="199"/>
      <c r="J4733" s="199"/>
    </row>
    <row r="4734" spans="9:10" x14ac:dyDescent="0.25">
      <c r="I4734" s="199"/>
      <c r="J4734" s="199"/>
    </row>
    <row r="4735" spans="9:10" x14ac:dyDescent="0.25">
      <c r="I4735" s="199"/>
      <c r="J4735" s="199"/>
    </row>
    <row r="4736" spans="9:10" x14ac:dyDescent="0.25">
      <c r="I4736" s="199"/>
      <c r="J4736" s="199"/>
    </row>
    <row r="4737" spans="9:10" x14ac:dyDescent="0.25">
      <c r="I4737" s="199"/>
      <c r="J4737" s="199"/>
    </row>
    <row r="4738" spans="9:10" x14ac:dyDescent="0.25">
      <c r="I4738" s="199"/>
      <c r="J4738" s="199"/>
    </row>
    <row r="4739" spans="9:10" x14ac:dyDescent="0.25">
      <c r="I4739" s="199"/>
      <c r="J4739" s="199"/>
    </row>
    <row r="4740" spans="9:10" x14ac:dyDescent="0.25">
      <c r="I4740" s="199"/>
      <c r="J4740" s="199"/>
    </row>
    <row r="4741" spans="9:10" x14ac:dyDescent="0.25">
      <c r="I4741" s="199"/>
      <c r="J4741" s="199"/>
    </row>
    <row r="4742" spans="9:10" x14ac:dyDescent="0.25">
      <c r="I4742" s="199"/>
      <c r="J4742" s="199"/>
    </row>
    <row r="4743" spans="9:10" x14ac:dyDescent="0.25">
      <c r="I4743" s="199"/>
      <c r="J4743" s="199"/>
    </row>
    <row r="4744" spans="9:10" x14ac:dyDescent="0.25">
      <c r="I4744" s="199"/>
      <c r="J4744" s="199"/>
    </row>
    <row r="4745" spans="9:10" x14ac:dyDescent="0.25">
      <c r="I4745" s="199"/>
      <c r="J4745" s="199"/>
    </row>
    <row r="4746" spans="9:10" x14ac:dyDescent="0.25">
      <c r="I4746" s="199"/>
      <c r="J4746" s="199"/>
    </row>
    <row r="4747" spans="9:10" x14ac:dyDescent="0.25">
      <c r="I4747" s="199"/>
      <c r="J4747" s="199"/>
    </row>
    <row r="4748" spans="9:10" x14ac:dyDescent="0.25">
      <c r="I4748" s="199"/>
      <c r="J4748" s="199"/>
    </row>
    <row r="4749" spans="9:10" x14ac:dyDescent="0.25">
      <c r="I4749" s="199"/>
      <c r="J4749" s="199"/>
    </row>
    <row r="4750" spans="9:10" x14ac:dyDescent="0.25">
      <c r="I4750" s="199"/>
      <c r="J4750" s="199"/>
    </row>
    <row r="4751" spans="9:10" x14ac:dyDescent="0.25">
      <c r="I4751" s="199"/>
      <c r="J4751" s="199"/>
    </row>
    <row r="4752" spans="9:10" x14ac:dyDescent="0.25">
      <c r="I4752" s="199"/>
      <c r="J4752" s="199"/>
    </row>
    <row r="4753" spans="9:10" x14ac:dyDescent="0.25">
      <c r="I4753" s="199"/>
      <c r="J4753" s="199"/>
    </row>
    <row r="4754" spans="9:10" x14ac:dyDescent="0.25">
      <c r="I4754" s="199"/>
      <c r="J4754" s="199"/>
    </row>
    <row r="4755" spans="9:10" x14ac:dyDescent="0.25">
      <c r="I4755" s="199"/>
      <c r="J4755" s="199"/>
    </row>
    <row r="4756" spans="9:10" x14ac:dyDescent="0.25">
      <c r="I4756" s="199"/>
      <c r="J4756" s="199"/>
    </row>
    <row r="4757" spans="9:10" x14ac:dyDescent="0.25">
      <c r="I4757" s="199"/>
      <c r="J4757" s="199"/>
    </row>
    <row r="4758" spans="9:10" x14ac:dyDescent="0.25">
      <c r="I4758" s="199"/>
      <c r="J4758" s="199"/>
    </row>
    <row r="4759" spans="9:10" x14ac:dyDescent="0.25">
      <c r="I4759" s="199"/>
      <c r="J4759" s="199"/>
    </row>
    <row r="4760" spans="9:10" x14ac:dyDescent="0.25">
      <c r="I4760" s="199"/>
      <c r="J4760" s="199"/>
    </row>
    <row r="4761" spans="9:10" x14ac:dyDescent="0.25">
      <c r="I4761" s="199"/>
      <c r="J4761" s="199"/>
    </row>
    <row r="4762" spans="9:10" x14ac:dyDescent="0.25">
      <c r="I4762" s="199"/>
      <c r="J4762" s="199"/>
    </row>
    <row r="4763" spans="9:10" x14ac:dyDescent="0.25">
      <c r="I4763" s="199"/>
      <c r="J4763" s="199"/>
    </row>
    <row r="4764" spans="9:10" x14ac:dyDescent="0.25">
      <c r="I4764" s="199"/>
      <c r="J4764" s="199"/>
    </row>
    <row r="4765" spans="9:10" x14ac:dyDescent="0.25">
      <c r="I4765" s="199"/>
      <c r="J4765" s="199"/>
    </row>
    <row r="4766" spans="9:10" x14ac:dyDescent="0.25">
      <c r="I4766" s="199"/>
      <c r="J4766" s="199"/>
    </row>
    <row r="4767" spans="9:10" x14ac:dyDescent="0.25">
      <c r="I4767" s="199"/>
      <c r="J4767" s="199"/>
    </row>
    <row r="4768" spans="9:10" x14ac:dyDescent="0.25">
      <c r="I4768" s="199"/>
      <c r="J4768" s="199"/>
    </row>
    <row r="4769" spans="9:10" x14ac:dyDescent="0.25">
      <c r="I4769" s="199"/>
      <c r="J4769" s="199"/>
    </row>
    <row r="4770" spans="9:10" x14ac:dyDescent="0.25">
      <c r="I4770" s="199"/>
      <c r="J4770" s="199"/>
    </row>
    <row r="4771" spans="9:10" x14ac:dyDescent="0.25">
      <c r="I4771" s="199"/>
      <c r="J4771" s="199"/>
    </row>
    <row r="4772" spans="9:10" x14ac:dyDescent="0.25">
      <c r="I4772" s="199"/>
      <c r="J4772" s="199"/>
    </row>
    <row r="4773" spans="9:10" x14ac:dyDescent="0.25">
      <c r="I4773" s="199"/>
      <c r="J4773" s="199"/>
    </row>
    <row r="4774" spans="9:10" x14ac:dyDescent="0.25">
      <c r="I4774" s="199"/>
      <c r="J4774" s="199"/>
    </row>
    <row r="4775" spans="9:10" x14ac:dyDescent="0.25">
      <c r="I4775" s="199"/>
      <c r="J4775" s="199"/>
    </row>
    <row r="4776" spans="9:10" x14ac:dyDescent="0.25">
      <c r="I4776" s="199"/>
      <c r="J4776" s="199"/>
    </row>
    <row r="4777" spans="9:10" x14ac:dyDescent="0.25">
      <c r="I4777" s="199"/>
      <c r="J4777" s="199"/>
    </row>
    <row r="4778" spans="9:10" x14ac:dyDescent="0.25">
      <c r="I4778" s="199"/>
      <c r="J4778" s="199"/>
    </row>
    <row r="4779" spans="9:10" x14ac:dyDescent="0.25">
      <c r="I4779" s="199"/>
      <c r="J4779" s="199"/>
    </row>
    <row r="4780" spans="9:10" x14ac:dyDescent="0.25">
      <c r="I4780" s="199"/>
      <c r="J4780" s="199"/>
    </row>
    <row r="4781" spans="9:10" x14ac:dyDescent="0.25">
      <c r="I4781" s="199"/>
      <c r="J4781" s="199"/>
    </row>
    <row r="4782" spans="9:10" x14ac:dyDescent="0.25">
      <c r="I4782" s="199"/>
      <c r="J4782" s="199"/>
    </row>
    <row r="4783" spans="9:10" x14ac:dyDescent="0.25">
      <c r="I4783" s="199"/>
      <c r="J4783" s="199"/>
    </row>
    <row r="4784" spans="9:10" x14ac:dyDescent="0.25">
      <c r="I4784" s="199"/>
      <c r="J4784" s="199"/>
    </row>
    <row r="4785" spans="9:10" x14ac:dyDescent="0.25">
      <c r="I4785" s="199"/>
      <c r="J4785" s="199"/>
    </row>
    <row r="4786" spans="9:10" x14ac:dyDescent="0.25">
      <c r="I4786" s="199"/>
      <c r="J4786" s="199"/>
    </row>
    <row r="4787" spans="9:10" x14ac:dyDescent="0.25">
      <c r="I4787" s="199"/>
      <c r="J4787" s="199"/>
    </row>
    <row r="4788" spans="9:10" x14ac:dyDescent="0.25">
      <c r="I4788" s="199"/>
      <c r="J4788" s="199"/>
    </row>
    <row r="4789" spans="9:10" x14ac:dyDescent="0.25">
      <c r="I4789" s="199"/>
      <c r="J4789" s="199"/>
    </row>
    <row r="4790" spans="9:10" x14ac:dyDescent="0.25">
      <c r="I4790" s="199"/>
      <c r="J4790" s="199"/>
    </row>
    <row r="4791" spans="9:10" x14ac:dyDescent="0.25">
      <c r="I4791" s="199"/>
      <c r="J4791" s="199"/>
    </row>
    <row r="4792" spans="9:10" x14ac:dyDescent="0.25">
      <c r="I4792" s="199"/>
      <c r="J4792" s="199"/>
    </row>
    <row r="4793" spans="9:10" x14ac:dyDescent="0.25">
      <c r="I4793" s="199"/>
      <c r="J4793" s="199"/>
    </row>
    <row r="4794" spans="9:10" x14ac:dyDescent="0.25">
      <c r="I4794" s="199"/>
      <c r="J4794" s="199"/>
    </row>
    <row r="4795" spans="9:10" x14ac:dyDescent="0.25">
      <c r="I4795" s="199"/>
      <c r="J4795" s="199"/>
    </row>
    <row r="4796" spans="9:10" x14ac:dyDescent="0.25">
      <c r="I4796" s="199"/>
      <c r="J4796" s="199"/>
    </row>
    <row r="4797" spans="9:10" x14ac:dyDescent="0.25">
      <c r="I4797" s="199"/>
      <c r="J4797" s="199"/>
    </row>
    <row r="4798" spans="9:10" x14ac:dyDescent="0.25">
      <c r="I4798" s="199"/>
      <c r="J4798" s="199"/>
    </row>
    <row r="4799" spans="9:10" x14ac:dyDescent="0.25">
      <c r="I4799" s="199"/>
      <c r="J4799" s="199"/>
    </row>
    <row r="4800" spans="9:10" x14ac:dyDescent="0.25">
      <c r="I4800" s="199"/>
      <c r="J4800" s="199"/>
    </row>
    <row r="4801" spans="9:10" x14ac:dyDescent="0.25">
      <c r="I4801" s="199"/>
      <c r="J4801" s="199"/>
    </row>
    <row r="4802" spans="9:10" x14ac:dyDescent="0.25">
      <c r="I4802" s="199"/>
      <c r="J4802" s="199"/>
    </row>
    <row r="4803" spans="9:10" x14ac:dyDescent="0.25">
      <c r="I4803" s="199"/>
      <c r="J4803" s="199"/>
    </row>
    <row r="4804" spans="9:10" x14ac:dyDescent="0.25">
      <c r="I4804" s="199"/>
      <c r="J4804" s="199"/>
    </row>
    <row r="4805" spans="9:10" x14ac:dyDescent="0.25">
      <c r="I4805" s="199"/>
      <c r="J4805" s="199"/>
    </row>
    <row r="4806" spans="9:10" x14ac:dyDescent="0.25">
      <c r="I4806" s="199"/>
      <c r="J4806" s="199"/>
    </row>
    <row r="4807" spans="9:10" x14ac:dyDescent="0.25">
      <c r="I4807" s="199"/>
      <c r="J4807" s="199"/>
    </row>
    <row r="4808" spans="9:10" x14ac:dyDescent="0.25">
      <c r="I4808" s="199"/>
      <c r="J4808" s="199"/>
    </row>
    <row r="4809" spans="9:10" x14ac:dyDescent="0.25">
      <c r="I4809" s="199"/>
      <c r="J4809" s="199"/>
    </row>
    <row r="4810" spans="9:10" x14ac:dyDescent="0.25">
      <c r="I4810" s="199"/>
      <c r="J4810" s="199"/>
    </row>
    <row r="4811" spans="9:10" x14ac:dyDescent="0.25">
      <c r="I4811" s="199"/>
      <c r="J4811" s="199"/>
    </row>
    <row r="4812" spans="9:10" x14ac:dyDescent="0.25">
      <c r="I4812" s="199"/>
      <c r="J4812" s="199"/>
    </row>
    <row r="4813" spans="9:10" x14ac:dyDescent="0.25">
      <c r="I4813" s="199"/>
      <c r="J4813" s="199"/>
    </row>
    <row r="4814" spans="9:10" x14ac:dyDescent="0.25">
      <c r="I4814" s="199"/>
      <c r="J4814" s="199"/>
    </row>
    <row r="4815" spans="9:10" x14ac:dyDescent="0.25">
      <c r="I4815" s="199"/>
      <c r="J4815" s="199"/>
    </row>
    <row r="4816" spans="9:10" x14ac:dyDescent="0.25">
      <c r="I4816" s="199"/>
      <c r="J4816" s="199"/>
    </row>
    <row r="4817" spans="9:10" x14ac:dyDescent="0.25">
      <c r="I4817" s="199"/>
      <c r="J4817" s="199"/>
    </row>
    <row r="4818" spans="9:10" x14ac:dyDescent="0.25">
      <c r="I4818" s="199"/>
      <c r="J4818" s="199"/>
    </row>
    <row r="4819" spans="9:10" x14ac:dyDescent="0.25">
      <c r="I4819" s="199"/>
      <c r="J4819" s="199"/>
    </row>
    <row r="4820" spans="9:10" x14ac:dyDescent="0.25">
      <c r="I4820" s="199"/>
      <c r="J4820" s="199"/>
    </row>
    <row r="4821" spans="9:10" x14ac:dyDescent="0.25">
      <c r="I4821" s="199"/>
      <c r="J4821" s="199"/>
    </row>
    <row r="4822" spans="9:10" x14ac:dyDescent="0.25">
      <c r="I4822" s="199"/>
      <c r="J4822" s="199"/>
    </row>
    <row r="4823" spans="9:10" x14ac:dyDescent="0.25">
      <c r="I4823" s="199"/>
      <c r="J4823" s="199"/>
    </row>
    <row r="4824" spans="9:10" x14ac:dyDescent="0.25">
      <c r="I4824" s="199"/>
      <c r="J4824" s="199"/>
    </row>
    <row r="4825" spans="9:10" x14ac:dyDescent="0.25">
      <c r="I4825" s="199"/>
      <c r="J4825" s="199"/>
    </row>
    <row r="4826" spans="9:10" x14ac:dyDescent="0.25">
      <c r="I4826" s="199"/>
      <c r="J4826" s="199"/>
    </row>
    <row r="4827" spans="9:10" x14ac:dyDescent="0.25">
      <c r="I4827" s="199"/>
      <c r="J4827" s="199"/>
    </row>
    <row r="4828" spans="9:10" x14ac:dyDescent="0.25">
      <c r="I4828" s="199"/>
      <c r="J4828" s="199"/>
    </row>
    <row r="4829" spans="9:10" x14ac:dyDescent="0.25">
      <c r="I4829" s="199"/>
      <c r="J4829" s="199"/>
    </row>
    <row r="4830" spans="9:10" x14ac:dyDescent="0.25">
      <c r="I4830" s="199"/>
      <c r="J4830" s="199"/>
    </row>
    <row r="4831" spans="9:10" x14ac:dyDescent="0.25">
      <c r="I4831" s="199"/>
      <c r="J4831" s="199"/>
    </row>
    <row r="4832" spans="9:10" x14ac:dyDescent="0.25">
      <c r="I4832" s="199"/>
      <c r="J4832" s="199"/>
    </row>
    <row r="4833" spans="9:10" x14ac:dyDescent="0.25">
      <c r="I4833" s="199"/>
      <c r="J4833" s="199"/>
    </row>
    <row r="4834" spans="9:10" x14ac:dyDescent="0.25">
      <c r="I4834" s="199"/>
      <c r="J4834" s="199"/>
    </row>
    <row r="4835" spans="9:10" x14ac:dyDescent="0.25">
      <c r="I4835" s="199"/>
      <c r="J4835" s="199"/>
    </row>
    <row r="4836" spans="9:10" x14ac:dyDescent="0.25">
      <c r="I4836" s="199"/>
      <c r="J4836" s="199"/>
    </row>
    <row r="4837" spans="9:10" x14ac:dyDescent="0.25">
      <c r="I4837" s="199"/>
      <c r="J4837" s="199"/>
    </row>
    <row r="4838" spans="9:10" x14ac:dyDescent="0.25">
      <c r="I4838" s="199"/>
      <c r="J4838" s="199"/>
    </row>
    <row r="4839" spans="9:10" x14ac:dyDescent="0.25">
      <c r="I4839" s="199"/>
      <c r="J4839" s="199"/>
    </row>
    <row r="4840" spans="9:10" x14ac:dyDescent="0.25">
      <c r="I4840" s="199"/>
      <c r="J4840" s="199"/>
    </row>
    <row r="4841" spans="9:10" x14ac:dyDescent="0.25">
      <c r="I4841" s="199"/>
      <c r="J4841" s="199"/>
    </row>
    <row r="4842" spans="9:10" x14ac:dyDescent="0.25">
      <c r="I4842" s="199"/>
      <c r="J4842" s="199"/>
    </row>
    <row r="4843" spans="9:10" x14ac:dyDescent="0.25">
      <c r="I4843" s="199"/>
      <c r="J4843" s="199"/>
    </row>
    <row r="4844" spans="9:10" x14ac:dyDescent="0.25">
      <c r="I4844" s="199"/>
      <c r="J4844" s="199"/>
    </row>
    <row r="4845" spans="9:10" x14ac:dyDescent="0.25">
      <c r="I4845" s="199"/>
      <c r="J4845" s="199"/>
    </row>
    <row r="4846" spans="9:10" x14ac:dyDescent="0.25">
      <c r="I4846" s="199"/>
      <c r="J4846" s="199"/>
    </row>
    <row r="4847" spans="9:10" x14ac:dyDescent="0.25">
      <c r="I4847" s="199"/>
      <c r="J4847" s="199"/>
    </row>
    <row r="4848" spans="9:10" x14ac:dyDescent="0.25">
      <c r="I4848" s="199"/>
      <c r="J4848" s="199"/>
    </row>
    <row r="4849" spans="9:10" x14ac:dyDescent="0.25">
      <c r="I4849" s="199"/>
      <c r="J4849" s="199"/>
    </row>
    <row r="4850" spans="9:10" x14ac:dyDescent="0.25">
      <c r="I4850" s="199"/>
      <c r="J4850" s="199"/>
    </row>
    <row r="4851" spans="9:10" x14ac:dyDescent="0.25">
      <c r="I4851" s="199"/>
      <c r="J4851" s="199"/>
    </row>
    <row r="4852" spans="9:10" x14ac:dyDescent="0.25">
      <c r="I4852" s="199"/>
      <c r="J4852" s="199"/>
    </row>
    <row r="4853" spans="9:10" x14ac:dyDescent="0.25">
      <c r="I4853" s="199"/>
      <c r="J4853" s="199"/>
    </row>
    <row r="4854" spans="9:10" x14ac:dyDescent="0.25">
      <c r="I4854" s="199"/>
      <c r="J4854" s="199"/>
    </row>
    <row r="4855" spans="9:10" x14ac:dyDescent="0.25">
      <c r="I4855" s="199"/>
      <c r="J4855" s="199"/>
    </row>
    <row r="4856" spans="9:10" x14ac:dyDescent="0.25">
      <c r="I4856" s="199"/>
      <c r="J4856" s="199"/>
    </row>
    <row r="4857" spans="9:10" x14ac:dyDescent="0.25">
      <c r="I4857" s="199"/>
      <c r="J4857" s="199"/>
    </row>
    <row r="4858" spans="9:10" x14ac:dyDescent="0.25">
      <c r="I4858" s="199"/>
      <c r="J4858" s="199"/>
    </row>
    <row r="4859" spans="9:10" x14ac:dyDescent="0.25">
      <c r="I4859" s="199"/>
      <c r="J4859" s="199"/>
    </row>
    <row r="4860" spans="9:10" x14ac:dyDescent="0.25">
      <c r="I4860" s="199"/>
      <c r="J4860" s="199"/>
    </row>
    <row r="4861" spans="9:10" x14ac:dyDescent="0.25">
      <c r="I4861" s="199"/>
      <c r="J4861" s="199"/>
    </row>
    <row r="4862" spans="9:10" x14ac:dyDescent="0.25">
      <c r="I4862" s="199"/>
      <c r="J4862" s="199"/>
    </row>
    <row r="4863" spans="9:10" x14ac:dyDescent="0.25">
      <c r="I4863" s="199"/>
      <c r="J4863" s="199"/>
    </row>
    <row r="4864" spans="9:10" x14ac:dyDescent="0.25">
      <c r="I4864" s="199"/>
      <c r="J4864" s="199"/>
    </row>
    <row r="4865" spans="9:10" x14ac:dyDescent="0.25">
      <c r="I4865" s="199"/>
      <c r="J4865" s="199"/>
    </row>
    <row r="4866" spans="9:10" x14ac:dyDescent="0.25">
      <c r="I4866" s="199"/>
      <c r="J4866" s="199"/>
    </row>
    <row r="4867" spans="9:10" x14ac:dyDescent="0.25">
      <c r="I4867" s="199"/>
      <c r="J4867" s="199"/>
    </row>
    <row r="4868" spans="9:10" x14ac:dyDescent="0.25">
      <c r="I4868" s="199"/>
      <c r="J4868" s="199"/>
    </row>
    <row r="4869" spans="9:10" x14ac:dyDescent="0.25">
      <c r="I4869" s="199"/>
      <c r="J4869" s="199"/>
    </row>
    <row r="4870" spans="9:10" x14ac:dyDescent="0.25">
      <c r="I4870" s="199"/>
      <c r="J4870" s="199"/>
    </row>
    <row r="4871" spans="9:10" x14ac:dyDescent="0.25">
      <c r="I4871" s="199"/>
      <c r="J4871" s="199"/>
    </row>
    <row r="4872" spans="9:10" x14ac:dyDescent="0.25">
      <c r="I4872" s="199"/>
      <c r="J4872" s="199"/>
    </row>
    <row r="4873" spans="9:10" x14ac:dyDescent="0.25">
      <c r="I4873" s="199"/>
      <c r="J4873" s="199"/>
    </row>
    <row r="4874" spans="9:10" x14ac:dyDescent="0.25">
      <c r="I4874" s="199"/>
      <c r="J4874" s="199"/>
    </row>
    <row r="4875" spans="9:10" x14ac:dyDescent="0.25">
      <c r="I4875" s="199"/>
      <c r="J4875" s="199"/>
    </row>
    <row r="4876" spans="9:10" x14ac:dyDescent="0.25">
      <c r="I4876" s="199"/>
      <c r="J4876" s="199"/>
    </row>
    <row r="4877" spans="9:10" x14ac:dyDescent="0.25">
      <c r="I4877" s="199"/>
      <c r="J4877" s="199"/>
    </row>
    <row r="4878" spans="9:10" x14ac:dyDescent="0.25">
      <c r="I4878" s="199"/>
      <c r="J4878" s="199"/>
    </row>
    <row r="4879" spans="9:10" x14ac:dyDescent="0.25">
      <c r="I4879" s="199"/>
      <c r="J4879" s="199"/>
    </row>
    <row r="4880" spans="9:10" x14ac:dyDescent="0.25">
      <c r="I4880" s="199"/>
      <c r="J4880" s="199"/>
    </row>
    <row r="4881" spans="9:10" x14ac:dyDescent="0.25">
      <c r="I4881" s="199"/>
      <c r="J4881" s="199"/>
    </row>
    <row r="4882" spans="9:10" x14ac:dyDescent="0.25">
      <c r="I4882" s="199"/>
      <c r="J4882" s="199"/>
    </row>
    <row r="4883" spans="9:10" x14ac:dyDescent="0.25">
      <c r="I4883" s="199"/>
      <c r="J4883" s="199"/>
    </row>
    <row r="4884" spans="9:10" x14ac:dyDescent="0.25">
      <c r="I4884" s="199"/>
      <c r="J4884" s="199"/>
    </row>
    <row r="4885" spans="9:10" x14ac:dyDescent="0.25">
      <c r="I4885" s="199"/>
      <c r="J4885" s="199"/>
    </row>
    <row r="4886" spans="9:10" x14ac:dyDescent="0.25">
      <c r="I4886" s="199"/>
      <c r="J4886" s="199"/>
    </row>
    <row r="4887" spans="9:10" x14ac:dyDescent="0.25">
      <c r="I4887" s="199"/>
      <c r="J4887" s="199"/>
    </row>
    <row r="4888" spans="9:10" x14ac:dyDescent="0.25">
      <c r="I4888" s="199"/>
      <c r="J4888" s="199"/>
    </row>
    <row r="4889" spans="9:10" x14ac:dyDescent="0.25">
      <c r="I4889" s="199"/>
      <c r="J4889" s="199"/>
    </row>
    <row r="4890" spans="9:10" x14ac:dyDescent="0.25">
      <c r="I4890" s="199"/>
      <c r="J4890" s="199"/>
    </row>
    <row r="4891" spans="9:10" x14ac:dyDescent="0.25">
      <c r="I4891" s="199"/>
      <c r="J4891" s="199"/>
    </row>
    <row r="4892" spans="9:10" x14ac:dyDescent="0.25">
      <c r="I4892" s="199"/>
      <c r="J4892" s="199"/>
    </row>
    <row r="4893" spans="9:10" x14ac:dyDescent="0.25">
      <c r="I4893" s="199"/>
      <c r="J4893" s="199"/>
    </row>
    <row r="4894" spans="9:10" x14ac:dyDescent="0.25">
      <c r="I4894" s="199"/>
      <c r="J4894" s="199"/>
    </row>
    <row r="4895" spans="9:10" x14ac:dyDescent="0.25">
      <c r="I4895" s="199"/>
      <c r="J4895" s="199"/>
    </row>
    <row r="4896" spans="9:10" x14ac:dyDescent="0.25">
      <c r="I4896" s="199"/>
      <c r="J4896" s="199"/>
    </row>
    <row r="4897" spans="9:10" x14ac:dyDescent="0.25">
      <c r="I4897" s="199"/>
      <c r="J4897" s="199"/>
    </row>
    <row r="4898" spans="9:10" x14ac:dyDescent="0.25">
      <c r="I4898" s="199"/>
      <c r="J4898" s="199"/>
    </row>
    <row r="4899" spans="9:10" x14ac:dyDescent="0.25">
      <c r="I4899" s="199"/>
      <c r="J4899" s="199"/>
    </row>
    <row r="4900" spans="9:10" x14ac:dyDescent="0.25">
      <c r="I4900" s="199"/>
      <c r="J4900" s="199"/>
    </row>
    <row r="4901" spans="9:10" x14ac:dyDescent="0.25">
      <c r="I4901" s="199"/>
      <c r="J4901" s="199"/>
    </row>
    <row r="4902" spans="9:10" x14ac:dyDescent="0.25">
      <c r="I4902" s="199"/>
      <c r="J4902" s="199"/>
    </row>
    <row r="4903" spans="9:10" x14ac:dyDescent="0.25">
      <c r="I4903" s="199"/>
      <c r="J4903" s="199"/>
    </row>
    <row r="4904" spans="9:10" x14ac:dyDescent="0.25">
      <c r="I4904" s="199"/>
      <c r="J4904" s="199"/>
    </row>
    <row r="4905" spans="9:10" x14ac:dyDescent="0.25">
      <c r="I4905" s="199"/>
      <c r="J4905" s="199"/>
    </row>
    <row r="4906" spans="9:10" x14ac:dyDescent="0.25">
      <c r="I4906" s="199"/>
      <c r="J4906" s="199"/>
    </row>
    <row r="4907" spans="9:10" x14ac:dyDescent="0.25">
      <c r="I4907" s="199"/>
      <c r="J4907" s="199"/>
    </row>
    <row r="4908" spans="9:10" x14ac:dyDescent="0.25">
      <c r="I4908" s="199"/>
      <c r="J4908" s="199"/>
    </row>
    <row r="4909" spans="9:10" x14ac:dyDescent="0.25">
      <c r="I4909" s="199"/>
      <c r="J4909" s="199"/>
    </row>
    <row r="4910" spans="9:10" x14ac:dyDescent="0.25">
      <c r="I4910" s="199"/>
      <c r="J4910" s="199"/>
    </row>
    <row r="4911" spans="9:10" x14ac:dyDescent="0.25">
      <c r="I4911" s="199"/>
      <c r="J4911" s="199"/>
    </row>
    <row r="4912" spans="9:10" x14ac:dyDescent="0.25">
      <c r="I4912" s="199"/>
      <c r="J4912" s="199"/>
    </row>
    <row r="4913" spans="9:10" x14ac:dyDescent="0.25">
      <c r="I4913" s="199"/>
      <c r="J4913" s="199"/>
    </row>
    <row r="4914" spans="9:10" x14ac:dyDescent="0.25">
      <c r="I4914" s="199"/>
      <c r="J4914" s="199"/>
    </row>
    <row r="4915" spans="9:10" x14ac:dyDescent="0.25">
      <c r="I4915" s="199"/>
      <c r="J4915" s="199"/>
    </row>
    <row r="4916" spans="9:10" x14ac:dyDescent="0.25">
      <c r="I4916" s="199"/>
      <c r="J4916" s="199"/>
    </row>
    <row r="4917" spans="9:10" x14ac:dyDescent="0.25">
      <c r="I4917" s="199"/>
      <c r="J4917" s="199"/>
    </row>
    <row r="4918" spans="9:10" x14ac:dyDescent="0.25">
      <c r="I4918" s="199"/>
      <c r="J4918" s="199"/>
    </row>
    <row r="4919" spans="9:10" x14ac:dyDescent="0.25">
      <c r="I4919" s="199"/>
      <c r="J4919" s="199"/>
    </row>
    <row r="4920" spans="9:10" x14ac:dyDescent="0.25">
      <c r="I4920" s="199"/>
      <c r="J4920" s="199"/>
    </row>
    <row r="4921" spans="9:10" x14ac:dyDescent="0.25">
      <c r="I4921" s="199"/>
      <c r="J4921" s="199"/>
    </row>
    <row r="4922" spans="9:10" x14ac:dyDescent="0.25">
      <c r="I4922" s="199"/>
      <c r="J4922" s="199"/>
    </row>
    <row r="4923" spans="9:10" x14ac:dyDescent="0.25">
      <c r="I4923" s="199"/>
      <c r="J4923" s="199"/>
    </row>
    <row r="4924" spans="9:10" x14ac:dyDescent="0.25">
      <c r="I4924" s="199"/>
      <c r="J4924" s="199"/>
    </row>
    <row r="4925" spans="9:10" x14ac:dyDescent="0.25">
      <c r="I4925" s="199"/>
      <c r="J4925" s="199"/>
    </row>
    <row r="4926" spans="9:10" x14ac:dyDescent="0.25">
      <c r="I4926" s="199"/>
      <c r="J4926" s="199"/>
    </row>
    <row r="4927" spans="9:10" x14ac:dyDescent="0.25">
      <c r="I4927" s="199"/>
      <c r="J4927" s="199"/>
    </row>
    <row r="4928" spans="9:10" x14ac:dyDescent="0.25">
      <c r="I4928" s="199"/>
      <c r="J4928" s="199"/>
    </row>
    <row r="4929" spans="9:10" x14ac:dyDescent="0.25">
      <c r="I4929" s="199"/>
      <c r="J4929" s="199"/>
    </row>
    <row r="4930" spans="9:10" x14ac:dyDescent="0.25">
      <c r="I4930" s="199"/>
      <c r="J4930" s="199"/>
    </row>
    <row r="4931" spans="9:10" x14ac:dyDescent="0.25">
      <c r="I4931" s="199"/>
      <c r="J4931" s="199"/>
    </row>
    <row r="4932" spans="9:10" x14ac:dyDescent="0.25">
      <c r="I4932" s="199"/>
      <c r="J4932" s="199"/>
    </row>
    <row r="4933" spans="9:10" x14ac:dyDescent="0.25">
      <c r="I4933" s="199"/>
      <c r="J4933" s="199"/>
    </row>
    <row r="4934" spans="9:10" x14ac:dyDescent="0.25">
      <c r="I4934" s="199"/>
      <c r="J4934" s="199"/>
    </row>
    <row r="4935" spans="9:10" x14ac:dyDescent="0.25">
      <c r="I4935" s="199"/>
      <c r="J4935" s="199"/>
    </row>
    <row r="4936" spans="9:10" x14ac:dyDescent="0.25">
      <c r="I4936" s="199"/>
      <c r="J4936" s="199"/>
    </row>
    <row r="4937" spans="9:10" x14ac:dyDescent="0.25">
      <c r="I4937" s="199"/>
      <c r="J4937" s="199"/>
    </row>
    <row r="4938" spans="9:10" x14ac:dyDescent="0.25">
      <c r="I4938" s="199"/>
      <c r="J4938" s="199"/>
    </row>
    <row r="4939" spans="9:10" x14ac:dyDescent="0.25">
      <c r="I4939" s="199"/>
      <c r="J4939" s="199"/>
    </row>
    <row r="4940" spans="9:10" x14ac:dyDescent="0.25">
      <c r="I4940" s="199"/>
      <c r="J4940" s="199"/>
    </row>
    <row r="4941" spans="9:10" x14ac:dyDescent="0.25">
      <c r="I4941" s="199"/>
      <c r="J4941" s="199"/>
    </row>
    <row r="4942" spans="9:10" x14ac:dyDescent="0.25">
      <c r="I4942" s="199"/>
      <c r="J4942" s="199"/>
    </row>
    <row r="4943" spans="9:10" x14ac:dyDescent="0.25">
      <c r="I4943" s="199"/>
      <c r="J4943" s="199"/>
    </row>
    <row r="4944" spans="9:10" x14ac:dyDescent="0.25">
      <c r="I4944" s="199"/>
      <c r="J4944" s="199"/>
    </row>
    <row r="4945" spans="9:10" x14ac:dyDescent="0.25">
      <c r="I4945" s="199"/>
      <c r="J4945" s="199"/>
    </row>
    <row r="4946" spans="9:10" x14ac:dyDescent="0.25">
      <c r="I4946" s="199"/>
      <c r="J4946" s="199"/>
    </row>
    <row r="4947" spans="9:10" x14ac:dyDescent="0.25">
      <c r="I4947" s="199"/>
      <c r="J4947" s="199"/>
    </row>
    <row r="4948" spans="9:10" x14ac:dyDescent="0.25">
      <c r="I4948" s="199"/>
      <c r="J4948" s="199"/>
    </row>
    <row r="4949" spans="9:10" x14ac:dyDescent="0.25">
      <c r="I4949" s="199"/>
      <c r="J4949" s="199"/>
    </row>
    <row r="4950" spans="9:10" x14ac:dyDescent="0.25">
      <c r="I4950" s="199"/>
      <c r="J4950" s="199"/>
    </row>
    <row r="4951" spans="9:10" x14ac:dyDescent="0.25">
      <c r="I4951" s="199"/>
      <c r="J4951" s="199"/>
    </row>
    <row r="4952" spans="9:10" x14ac:dyDescent="0.25">
      <c r="I4952" s="199"/>
      <c r="J4952" s="199"/>
    </row>
    <row r="4953" spans="9:10" x14ac:dyDescent="0.25">
      <c r="I4953" s="199"/>
      <c r="J4953" s="199"/>
    </row>
    <row r="4954" spans="9:10" x14ac:dyDescent="0.25">
      <c r="I4954" s="199"/>
      <c r="J4954" s="199"/>
    </row>
    <row r="4955" spans="9:10" x14ac:dyDescent="0.25">
      <c r="I4955" s="199"/>
      <c r="J4955" s="199"/>
    </row>
    <row r="4956" spans="9:10" x14ac:dyDescent="0.25">
      <c r="I4956" s="199"/>
      <c r="J4956" s="199"/>
    </row>
    <row r="4957" spans="9:10" x14ac:dyDescent="0.25">
      <c r="I4957" s="199"/>
      <c r="J4957" s="199"/>
    </row>
    <row r="4958" spans="9:10" x14ac:dyDescent="0.25">
      <c r="I4958" s="199"/>
      <c r="J4958" s="199"/>
    </row>
    <row r="4959" spans="9:10" x14ac:dyDescent="0.25">
      <c r="I4959" s="199"/>
      <c r="J4959" s="199"/>
    </row>
    <row r="4960" spans="9:10" x14ac:dyDescent="0.25">
      <c r="I4960" s="199"/>
      <c r="J4960" s="199"/>
    </row>
    <row r="4961" spans="9:10" x14ac:dyDescent="0.25">
      <c r="I4961" s="199"/>
      <c r="J4961" s="199"/>
    </row>
    <row r="4962" spans="9:10" x14ac:dyDescent="0.25">
      <c r="I4962" s="199"/>
      <c r="J4962" s="199"/>
    </row>
    <row r="4963" spans="9:10" x14ac:dyDescent="0.25">
      <c r="I4963" s="199"/>
      <c r="J4963" s="199"/>
    </row>
    <row r="4964" spans="9:10" x14ac:dyDescent="0.25">
      <c r="I4964" s="199"/>
      <c r="J4964" s="199"/>
    </row>
    <row r="4965" spans="9:10" x14ac:dyDescent="0.25">
      <c r="I4965" s="199"/>
      <c r="J4965" s="199"/>
    </row>
    <row r="4966" spans="9:10" x14ac:dyDescent="0.25">
      <c r="I4966" s="199"/>
      <c r="J4966" s="199"/>
    </row>
    <row r="4967" spans="9:10" x14ac:dyDescent="0.25">
      <c r="I4967" s="199"/>
      <c r="J4967" s="199"/>
    </row>
    <row r="4968" spans="9:10" x14ac:dyDescent="0.25">
      <c r="I4968" s="199"/>
      <c r="J4968" s="199"/>
    </row>
    <row r="4969" spans="9:10" x14ac:dyDescent="0.25">
      <c r="I4969" s="199"/>
      <c r="J4969" s="199"/>
    </row>
    <row r="4970" spans="9:10" x14ac:dyDescent="0.25">
      <c r="I4970" s="199"/>
      <c r="J4970" s="199"/>
    </row>
    <row r="4971" spans="9:10" x14ac:dyDescent="0.25">
      <c r="I4971" s="199"/>
      <c r="J4971" s="199"/>
    </row>
    <row r="4972" spans="9:10" x14ac:dyDescent="0.25">
      <c r="I4972" s="199"/>
      <c r="J4972" s="199"/>
    </row>
    <row r="4973" spans="9:10" x14ac:dyDescent="0.25">
      <c r="I4973" s="199"/>
      <c r="J4973" s="199"/>
    </row>
    <row r="4974" spans="9:10" x14ac:dyDescent="0.25">
      <c r="I4974" s="199"/>
      <c r="J4974" s="199"/>
    </row>
    <row r="4975" spans="9:10" x14ac:dyDescent="0.25">
      <c r="I4975" s="199"/>
      <c r="J4975" s="199"/>
    </row>
    <row r="4976" spans="9:10" x14ac:dyDescent="0.25">
      <c r="I4976" s="199"/>
      <c r="J4976" s="199"/>
    </row>
    <row r="4977" spans="9:10" x14ac:dyDescent="0.25">
      <c r="I4977" s="199"/>
      <c r="J4977" s="199"/>
    </row>
    <row r="4978" spans="9:10" x14ac:dyDescent="0.25">
      <c r="I4978" s="199"/>
      <c r="J4978" s="199"/>
    </row>
    <row r="4979" spans="9:10" x14ac:dyDescent="0.25">
      <c r="I4979" s="199"/>
      <c r="J4979" s="199"/>
    </row>
    <row r="4980" spans="9:10" x14ac:dyDescent="0.25">
      <c r="I4980" s="199"/>
      <c r="J4980" s="199"/>
    </row>
    <row r="4981" spans="9:10" x14ac:dyDescent="0.25">
      <c r="I4981" s="199"/>
      <c r="J4981" s="199"/>
    </row>
    <row r="4982" spans="9:10" x14ac:dyDescent="0.25">
      <c r="I4982" s="199"/>
      <c r="J4982" s="199"/>
    </row>
    <row r="4983" spans="9:10" x14ac:dyDescent="0.25">
      <c r="I4983" s="199"/>
      <c r="J4983" s="199"/>
    </row>
    <row r="4984" spans="9:10" x14ac:dyDescent="0.25">
      <c r="I4984" s="199"/>
      <c r="J4984" s="199"/>
    </row>
    <row r="4985" spans="9:10" x14ac:dyDescent="0.25">
      <c r="I4985" s="199"/>
      <c r="J4985" s="199"/>
    </row>
    <row r="4986" spans="9:10" x14ac:dyDescent="0.25">
      <c r="I4986" s="199"/>
      <c r="J4986" s="199"/>
    </row>
    <row r="4987" spans="9:10" x14ac:dyDescent="0.25">
      <c r="I4987" s="199"/>
      <c r="J4987" s="199"/>
    </row>
    <row r="4988" spans="9:10" x14ac:dyDescent="0.25">
      <c r="I4988" s="199"/>
      <c r="J4988" s="199"/>
    </row>
    <row r="4989" spans="9:10" x14ac:dyDescent="0.25">
      <c r="I4989" s="199"/>
      <c r="J4989" s="199"/>
    </row>
    <row r="4990" spans="9:10" x14ac:dyDescent="0.25">
      <c r="I4990" s="199"/>
      <c r="J4990" s="199"/>
    </row>
    <row r="4991" spans="9:10" x14ac:dyDescent="0.25">
      <c r="I4991" s="199"/>
      <c r="J4991" s="199"/>
    </row>
    <row r="4992" spans="9:10" x14ac:dyDescent="0.25">
      <c r="I4992" s="199"/>
      <c r="J4992" s="199"/>
    </row>
    <row r="4993" spans="9:10" x14ac:dyDescent="0.25">
      <c r="I4993" s="199"/>
      <c r="J4993" s="199"/>
    </row>
    <row r="4994" spans="9:10" x14ac:dyDescent="0.25">
      <c r="I4994" s="199"/>
      <c r="J4994" s="199"/>
    </row>
    <row r="4995" spans="9:10" x14ac:dyDescent="0.25">
      <c r="I4995" s="199"/>
      <c r="J4995" s="199"/>
    </row>
    <row r="4996" spans="9:10" x14ac:dyDescent="0.25">
      <c r="I4996" s="199"/>
      <c r="J4996" s="199"/>
    </row>
    <row r="4997" spans="9:10" x14ac:dyDescent="0.25">
      <c r="I4997" s="199"/>
      <c r="J4997" s="199"/>
    </row>
    <row r="4998" spans="9:10" x14ac:dyDescent="0.25">
      <c r="I4998" s="199"/>
      <c r="J4998" s="199"/>
    </row>
    <row r="4999" spans="9:10" x14ac:dyDescent="0.25">
      <c r="I4999" s="199"/>
      <c r="J4999" s="199"/>
    </row>
    <row r="5000" spans="9:10" x14ac:dyDescent="0.25">
      <c r="I5000" s="199"/>
      <c r="J5000" s="199"/>
    </row>
    <row r="5001" spans="9:10" x14ac:dyDescent="0.25">
      <c r="I5001" s="199"/>
      <c r="J5001" s="199"/>
    </row>
    <row r="5002" spans="9:10" x14ac:dyDescent="0.25">
      <c r="I5002" s="199"/>
      <c r="J5002" s="199"/>
    </row>
    <row r="5003" spans="9:10" x14ac:dyDescent="0.25">
      <c r="I5003" s="199"/>
      <c r="J5003" s="199"/>
    </row>
    <row r="5004" spans="9:10" x14ac:dyDescent="0.25">
      <c r="I5004" s="199"/>
      <c r="J5004" s="199"/>
    </row>
    <row r="5005" spans="9:10" x14ac:dyDescent="0.25">
      <c r="I5005" s="199"/>
      <c r="J5005" s="199"/>
    </row>
    <row r="5006" spans="9:10" x14ac:dyDescent="0.25">
      <c r="I5006" s="199"/>
      <c r="J5006" s="199"/>
    </row>
    <row r="5007" spans="9:10" x14ac:dyDescent="0.25">
      <c r="I5007" s="199"/>
      <c r="J5007" s="199"/>
    </row>
    <row r="5008" spans="9:10" x14ac:dyDescent="0.25">
      <c r="I5008" s="199"/>
      <c r="J5008" s="199"/>
    </row>
    <row r="5009" spans="9:10" x14ac:dyDescent="0.25">
      <c r="I5009" s="199"/>
      <c r="J5009" s="199"/>
    </row>
    <row r="5010" spans="9:10" x14ac:dyDescent="0.25">
      <c r="I5010" s="199"/>
      <c r="J5010" s="199"/>
    </row>
    <row r="5011" spans="9:10" x14ac:dyDescent="0.25">
      <c r="I5011" s="199"/>
      <c r="J5011" s="199"/>
    </row>
    <row r="5012" spans="9:10" x14ac:dyDescent="0.25">
      <c r="I5012" s="199"/>
      <c r="J5012" s="199"/>
    </row>
    <row r="5013" spans="9:10" x14ac:dyDescent="0.25">
      <c r="I5013" s="199"/>
      <c r="J5013" s="199"/>
    </row>
    <row r="5014" spans="9:10" x14ac:dyDescent="0.25">
      <c r="I5014" s="199"/>
      <c r="J5014" s="199"/>
    </row>
    <row r="5015" spans="9:10" x14ac:dyDescent="0.25">
      <c r="I5015" s="199"/>
      <c r="J5015" s="199"/>
    </row>
    <row r="5016" spans="9:10" x14ac:dyDescent="0.25">
      <c r="I5016" s="199"/>
      <c r="J5016" s="199"/>
    </row>
    <row r="5017" spans="9:10" x14ac:dyDescent="0.25">
      <c r="I5017" s="199"/>
      <c r="J5017" s="199"/>
    </row>
    <row r="5018" spans="9:10" x14ac:dyDescent="0.25">
      <c r="I5018" s="199"/>
      <c r="J5018" s="199"/>
    </row>
    <row r="5019" spans="9:10" x14ac:dyDescent="0.25">
      <c r="I5019" s="199"/>
      <c r="J5019" s="199"/>
    </row>
    <row r="5020" spans="9:10" x14ac:dyDescent="0.25">
      <c r="I5020" s="199"/>
      <c r="J5020" s="199"/>
    </row>
    <row r="5021" spans="9:10" x14ac:dyDescent="0.25">
      <c r="I5021" s="199"/>
      <c r="J5021" s="199"/>
    </row>
    <row r="5022" spans="9:10" x14ac:dyDescent="0.25">
      <c r="I5022" s="199"/>
      <c r="J5022" s="199"/>
    </row>
    <row r="5023" spans="9:10" x14ac:dyDescent="0.25">
      <c r="I5023" s="199"/>
      <c r="J5023" s="199"/>
    </row>
    <row r="5024" spans="9:10" x14ac:dyDescent="0.25">
      <c r="I5024" s="199"/>
      <c r="J5024" s="199"/>
    </row>
    <row r="5025" spans="9:10" x14ac:dyDescent="0.25">
      <c r="I5025" s="199"/>
      <c r="J5025" s="199"/>
    </row>
    <row r="5026" spans="9:10" x14ac:dyDescent="0.25">
      <c r="I5026" s="199"/>
      <c r="J5026" s="199"/>
    </row>
    <row r="5027" spans="9:10" x14ac:dyDescent="0.25">
      <c r="I5027" s="199"/>
      <c r="J5027" s="199"/>
    </row>
    <row r="5028" spans="9:10" x14ac:dyDescent="0.25">
      <c r="I5028" s="199"/>
      <c r="J5028" s="199"/>
    </row>
    <row r="5029" spans="9:10" x14ac:dyDescent="0.25">
      <c r="I5029" s="199"/>
      <c r="J5029" s="199"/>
    </row>
    <row r="5030" spans="9:10" x14ac:dyDescent="0.25">
      <c r="I5030" s="199"/>
      <c r="J5030" s="199"/>
    </row>
    <row r="5031" spans="9:10" x14ac:dyDescent="0.25">
      <c r="I5031" s="199"/>
      <c r="J5031" s="199"/>
    </row>
    <row r="5032" spans="9:10" x14ac:dyDescent="0.25">
      <c r="I5032" s="199"/>
      <c r="J5032" s="199"/>
    </row>
    <row r="5033" spans="9:10" x14ac:dyDescent="0.25">
      <c r="I5033" s="199"/>
      <c r="J5033" s="199"/>
    </row>
    <row r="5034" spans="9:10" x14ac:dyDescent="0.25">
      <c r="I5034" s="199"/>
      <c r="J5034" s="199"/>
    </row>
    <row r="5035" spans="9:10" x14ac:dyDescent="0.25">
      <c r="I5035" s="199"/>
      <c r="J5035" s="199"/>
    </row>
    <row r="5036" spans="9:10" x14ac:dyDescent="0.25">
      <c r="I5036" s="199"/>
      <c r="J5036" s="199"/>
    </row>
    <row r="5037" spans="9:10" x14ac:dyDescent="0.25">
      <c r="I5037" s="199"/>
      <c r="J5037" s="199"/>
    </row>
    <row r="5038" spans="9:10" x14ac:dyDescent="0.25">
      <c r="I5038" s="199"/>
      <c r="J5038" s="199"/>
    </row>
    <row r="5039" spans="9:10" x14ac:dyDescent="0.25">
      <c r="I5039" s="199"/>
      <c r="J5039" s="199"/>
    </row>
    <row r="5040" spans="9:10" x14ac:dyDescent="0.25">
      <c r="I5040" s="199"/>
      <c r="J5040" s="199"/>
    </row>
    <row r="5041" spans="9:10" x14ac:dyDescent="0.25">
      <c r="I5041" s="199"/>
      <c r="J5041" s="199"/>
    </row>
    <row r="5042" spans="9:10" x14ac:dyDescent="0.25">
      <c r="I5042" s="199"/>
      <c r="J5042" s="199"/>
    </row>
    <row r="5043" spans="9:10" x14ac:dyDescent="0.25">
      <c r="I5043" s="199"/>
      <c r="J5043" s="199"/>
    </row>
    <row r="5044" spans="9:10" x14ac:dyDescent="0.25">
      <c r="I5044" s="199"/>
      <c r="J5044" s="199"/>
    </row>
    <row r="5045" spans="9:10" x14ac:dyDescent="0.25">
      <c r="I5045" s="199"/>
      <c r="J5045" s="199"/>
    </row>
    <row r="5046" spans="9:10" x14ac:dyDescent="0.25">
      <c r="I5046" s="199"/>
      <c r="J5046" s="199"/>
    </row>
    <row r="5047" spans="9:10" x14ac:dyDescent="0.25">
      <c r="I5047" s="199"/>
      <c r="J5047" s="199"/>
    </row>
    <row r="5048" spans="9:10" x14ac:dyDescent="0.25">
      <c r="I5048" s="199"/>
      <c r="J5048" s="199"/>
    </row>
    <row r="5049" spans="9:10" x14ac:dyDescent="0.25">
      <c r="I5049" s="199"/>
      <c r="J5049" s="199"/>
    </row>
    <row r="5050" spans="9:10" x14ac:dyDescent="0.25">
      <c r="I5050" s="199"/>
      <c r="J5050" s="199"/>
    </row>
    <row r="5051" spans="9:10" x14ac:dyDescent="0.25">
      <c r="I5051" s="199"/>
      <c r="J5051" s="199"/>
    </row>
    <row r="5052" spans="9:10" x14ac:dyDescent="0.25">
      <c r="I5052" s="199"/>
      <c r="J5052" s="199"/>
    </row>
    <row r="5053" spans="9:10" x14ac:dyDescent="0.25">
      <c r="I5053" s="199"/>
      <c r="J5053" s="199"/>
    </row>
    <row r="5054" spans="9:10" x14ac:dyDescent="0.25">
      <c r="I5054" s="199"/>
      <c r="J5054" s="199"/>
    </row>
    <row r="5055" spans="9:10" x14ac:dyDescent="0.25">
      <c r="I5055" s="199"/>
      <c r="J5055" s="199"/>
    </row>
    <row r="5056" spans="9:10" x14ac:dyDescent="0.25">
      <c r="I5056" s="199"/>
      <c r="J5056" s="199"/>
    </row>
    <row r="5057" spans="9:10" x14ac:dyDescent="0.25">
      <c r="I5057" s="199"/>
      <c r="J5057" s="199"/>
    </row>
    <row r="5058" spans="9:10" x14ac:dyDescent="0.25">
      <c r="I5058" s="199"/>
      <c r="J5058" s="199"/>
    </row>
    <row r="5059" spans="9:10" x14ac:dyDescent="0.25">
      <c r="I5059" s="199"/>
      <c r="J5059" s="199"/>
    </row>
    <row r="5060" spans="9:10" x14ac:dyDescent="0.25">
      <c r="I5060" s="199"/>
      <c r="J5060" s="199"/>
    </row>
    <row r="5061" spans="9:10" x14ac:dyDescent="0.25">
      <c r="I5061" s="199"/>
      <c r="J5061" s="199"/>
    </row>
    <row r="5062" spans="9:10" x14ac:dyDescent="0.25">
      <c r="I5062" s="199"/>
      <c r="J5062" s="199"/>
    </row>
    <row r="5063" spans="9:10" x14ac:dyDescent="0.25">
      <c r="I5063" s="199"/>
      <c r="J5063" s="199"/>
    </row>
    <row r="5064" spans="9:10" x14ac:dyDescent="0.25">
      <c r="I5064" s="199"/>
      <c r="J5064" s="199"/>
    </row>
    <row r="5065" spans="9:10" x14ac:dyDescent="0.25">
      <c r="I5065" s="199"/>
      <c r="J5065" s="199"/>
    </row>
    <row r="5066" spans="9:10" x14ac:dyDescent="0.25">
      <c r="I5066" s="199"/>
      <c r="J5066" s="199"/>
    </row>
    <row r="5067" spans="9:10" x14ac:dyDescent="0.25">
      <c r="I5067" s="199"/>
      <c r="J5067" s="199"/>
    </row>
    <row r="5068" spans="9:10" x14ac:dyDescent="0.25">
      <c r="I5068" s="199"/>
      <c r="J5068" s="199"/>
    </row>
    <row r="5069" spans="9:10" x14ac:dyDescent="0.25">
      <c r="I5069" s="199"/>
      <c r="J5069" s="199"/>
    </row>
    <row r="5070" spans="9:10" x14ac:dyDescent="0.25">
      <c r="I5070" s="199"/>
      <c r="J5070" s="199"/>
    </row>
    <row r="5071" spans="9:10" x14ac:dyDescent="0.25">
      <c r="I5071" s="199"/>
      <c r="J5071" s="199"/>
    </row>
    <row r="5072" spans="9:10" x14ac:dyDescent="0.25">
      <c r="I5072" s="199"/>
      <c r="J5072" s="199"/>
    </row>
    <row r="5073" spans="9:10" x14ac:dyDescent="0.25">
      <c r="I5073" s="199"/>
      <c r="J5073" s="199"/>
    </row>
    <row r="5074" spans="9:10" x14ac:dyDescent="0.25">
      <c r="I5074" s="199"/>
      <c r="J5074" s="199"/>
    </row>
    <row r="5075" spans="9:10" x14ac:dyDescent="0.25">
      <c r="I5075" s="199"/>
      <c r="J5075" s="199"/>
    </row>
    <row r="5076" spans="9:10" x14ac:dyDescent="0.25">
      <c r="I5076" s="199"/>
      <c r="J5076" s="199"/>
    </row>
    <row r="5077" spans="9:10" x14ac:dyDescent="0.25">
      <c r="I5077" s="199"/>
      <c r="J5077" s="199"/>
    </row>
    <row r="5078" spans="9:10" x14ac:dyDescent="0.25">
      <c r="I5078" s="199"/>
      <c r="J5078" s="199"/>
    </row>
    <row r="5079" spans="9:10" x14ac:dyDescent="0.25">
      <c r="I5079" s="199"/>
      <c r="J5079" s="199"/>
    </row>
    <row r="5080" spans="9:10" x14ac:dyDescent="0.25">
      <c r="I5080" s="199"/>
      <c r="J5080" s="199"/>
    </row>
    <row r="5081" spans="9:10" x14ac:dyDescent="0.25">
      <c r="I5081" s="199"/>
      <c r="J5081" s="199"/>
    </row>
    <row r="5082" spans="9:10" x14ac:dyDescent="0.25">
      <c r="I5082" s="199"/>
      <c r="J5082" s="199"/>
    </row>
    <row r="5083" spans="9:10" x14ac:dyDescent="0.25">
      <c r="I5083" s="199"/>
      <c r="J5083" s="199"/>
    </row>
    <row r="5084" spans="9:10" x14ac:dyDescent="0.25">
      <c r="I5084" s="199"/>
      <c r="J5084" s="199"/>
    </row>
    <row r="5085" spans="9:10" x14ac:dyDescent="0.25">
      <c r="I5085" s="199"/>
      <c r="J5085" s="199"/>
    </row>
    <row r="5086" spans="9:10" x14ac:dyDescent="0.25">
      <c r="I5086" s="199"/>
      <c r="J5086" s="199"/>
    </row>
    <row r="5087" spans="9:10" x14ac:dyDescent="0.25">
      <c r="I5087" s="199"/>
      <c r="J5087" s="199"/>
    </row>
    <row r="5088" spans="9:10" x14ac:dyDescent="0.25">
      <c r="I5088" s="199"/>
      <c r="J5088" s="199"/>
    </row>
    <row r="5089" spans="9:10" x14ac:dyDescent="0.25">
      <c r="I5089" s="199"/>
      <c r="J5089" s="199"/>
    </row>
    <row r="5090" spans="9:10" x14ac:dyDescent="0.25">
      <c r="I5090" s="199"/>
      <c r="J5090" s="199"/>
    </row>
    <row r="5091" spans="9:10" x14ac:dyDescent="0.25">
      <c r="I5091" s="199"/>
      <c r="J5091" s="199"/>
    </row>
    <row r="5092" spans="9:10" x14ac:dyDescent="0.25">
      <c r="I5092" s="199"/>
      <c r="J5092" s="199"/>
    </row>
    <row r="5093" spans="9:10" x14ac:dyDescent="0.25">
      <c r="I5093" s="199"/>
      <c r="J5093" s="199"/>
    </row>
    <row r="5094" spans="9:10" x14ac:dyDescent="0.25">
      <c r="I5094" s="199"/>
      <c r="J5094" s="199"/>
    </row>
    <row r="5095" spans="9:10" x14ac:dyDescent="0.25">
      <c r="I5095" s="199"/>
      <c r="J5095" s="199"/>
    </row>
    <row r="5096" spans="9:10" x14ac:dyDescent="0.25">
      <c r="I5096" s="199"/>
      <c r="J5096" s="199"/>
    </row>
    <row r="5097" spans="9:10" x14ac:dyDescent="0.25">
      <c r="I5097" s="199"/>
      <c r="J5097" s="199"/>
    </row>
    <row r="5098" spans="9:10" x14ac:dyDescent="0.25">
      <c r="I5098" s="199"/>
      <c r="J5098" s="199"/>
    </row>
    <row r="5099" spans="9:10" x14ac:dyDescent="0.25">
      <c r="I5099" s="199"/>
      <c r="J5099" s="199"/>
    </row>
    <row r="5100" spans="9:10" x14ac:dyDescent="0.25">
      <c r="I5100" s="199"/>
      <c r="J5100" s="199"/>
    </row>
    <row r="5101" spans="9:10" x14ac:dyDescent="0.25">
      <c r="I5101" s="199"/>
      <c r="J5101" s="199"/>
    </row>
    <row r="5102" spans="9:10" x14ac:dyDescent="0.25">
      <c r="I5102" s="199"/>
      <c r="J5102" s="199"/>
    </row>
    <row r="5103" spans="9:10" x14ac:dyDescent="0.25">
      <c r="I5103" s="199"/>
      <c r="J5103" s="199"/>
    </row>
    <row r="5104" spans="9:10" x14ac:dyDescent="0.25">
      <c r="I5104" s="199"/>
      <c r="J5104" s="199"/>
    </row>
    <row r="5105" spans="9:10" x14ac:dyDescent="0.25">
      <c r="I5105" s="199"/>
      <c r="J5105" s="199"/>
    </row>
    <row r="5106" spans="9:10" x14ac:dyDescent="0.25">
      <c r="I5106" s="199"/>
      <c r="J5106" s="199"/>
    </row>
    <row r="5107" spans="9:10" x14ac:dyDescent="0.25">
      <c r="I5107" s="199"/>
      <c r="J5107" s="199"/>
    </row>
    <row r="5108" spans="9:10" x14ac:dyDescent="0.25">
      <c r="I5108" s="199"/>
      <c r="J5108" s="199"/>
    </row>
    <row r="5109" spans="9:10" x14ac:dyDescent="0.25">
      <c r="I5109" s="199"/>
      <c r="J5109" s="199"/>
    </row>
    <row r="5110" spans="9:10" x14ac:dyDescent="0.25">
      <c r="I5110" s="199"/>
      <c r="J5110" s="199"/>
    </row>
    <row r="5111" spans="9:10" x14ac:dyDescent="0.25">
      <c r="I5111" s="199"/>
      <c r="J5111" s="199"/>
    </row>
    <row r="5112" spans="9:10" x14ac:dyDescent="0.25">
      <c r="I5112" s="199"/>
      <c r="J5112" s="199"/>
    </row>
    <row r="5113" spans="9:10" x14ac:dyDescent="0.25">
      <c r="I5113" s="199"/>
      <c r="J5113" s="199"/>
    </row>
    <row r="5114" spans="9:10" x14ac:dyDescent="0.25">
      <c r="I5114" s="199"/>
      <c r="J5114" s="199"/>
    </row>
    <row r="5115" spans="9:10" x14ac:dyDescent="0.25">
      <c r="I5115" s="199"/>
      <c r="J5115" s="199"/>
    </row>
    <row r="5116" spans="9:10" x14ac:dyDescent="0.25">
      <c r="I5116" s="199"/>
      <c r="J5116" s="199"/>
    </row>
    <row r="5117" spans="9:10" x14ac:dyDescent="0.25">
      <c r="I5117" s="199"/>
      <c r="J5117" s="199"/>
    </row>
    <row r="5118" spans="9:10" x14ac:dyDescent="0.25">
      <c r="I5118" s="199"/>
      <c r="J5118" s="199"/>
    </row>
    <row r="5119" spans="9:10" x14ac:dyDescent="0.25">
      <c r="I5119" s="199"/>
      <c r="J5119" s="199"/>
    </row>
    <row r="5120" spans="9:10" x14ac:dyDescent="0.25">
      <c r="I5120" s="199"/>
      <c r="J5120" s="199"/>
    </row>
    <row r="5121" spans="9:10" x14ac:dyDescent="0.25">
      <c r="I5121" s="199"/>
      <c r="J5121" s="199"/>
    </row>
    <row r="5122" spans="9:10" x14ac:dyDescent="0.25">
      <c r="I5122" s="199"/>
      <c r="J5122" s="199"/>
    </row>
    <row r="5123" spans="9:10" x14ac:dyDescent="0.25">
      <c r="I5123" s="199"/>
      <c r="J5123" s="199"/>
    </row>
    <row r="5124" spans="9:10" x14ac:dyDescent="0.25">
      <c r="I5124" s="199"/>
      <c r="J5124" s="199"/>
    </row>
    <row r="5125" spans="9:10" x14ac:dyDescent="0.25">
      <c r="I5125" s="199"/>
      <c r="J5125" s="199"/>
    </row>
    <row r="5126" spans="9:10" x14ac:dyDescent="0.25">
      <c r="I5126" s="199"/>
      <c r="J5126" s="199"/>
    </row>
    <row r="5127" spans="9:10" x14ac:dyDescent="0.25">
      <c r="I5127" s="199"/>
      <c r="J5127" s="199"/>
    </row>
    <row r="5128" spans="9:10" x14ac:dyDescent="0.25">
      <c r="I5128" s="199"/>
      <c r="J5128" s="199"/>
    </row>
    <row r="5129" spans="9:10" x14ac:dyDescent="0.25">
      <c r="I5129" s="199"/>
      <c r="J5129" s="199"/>
    </row>
    <row r="5130" spans="9:10" x14ac:dyDescent="0.25">
      <c r="I5130" s="199"/>
      <c r="J5130" s="199"/>
    </row>
    <row r="5131" spans="9:10" x14ac:dyDescent="0.25">
      <c r="I5131" s="199"/>
      <c r="J5131" s="199"/>
    </row>
    <row r="5132" spans="9:10" x14ac:dyDescent="0.25">
      <c r="I5132" s="199"/>
      <c r="J5132" s="199"/>
    </row>
    <row r="5133" spans="9:10" x14ac:dyDescent="0.25">
      <c r="I5133" s="199"/>
      <c r="J5133" s="199"/>
    </row>
    <row r="5134" spans="9:10" x14ac:dyDescent="0.25">
      <c r="I5134" s="199"/>
      <c r="J5134" s="199"/>
    </row>
    <row r="5135" spans="9:10" x14ac:dyDescent="0.25">
      <c r="I5135" s="199"/>
      <c r="J5135" s="199"/>
    </row>
    <row r="5136" spans="9:10" x14ac:dyDescent="0.25">
      <c r="I5136" s="199"/>
      <c r="J5136" s="199"/>
    </row>
    <row r="5137" spans="9:10" x14ac:dyDescent="0.25">
      <c r="I5137" s="199"/>
      <c r="J5137" s="199"/>
    </row>
    <row r="5138" spans="9:10" x14ac:dyDescent="0.25">
      <c r="I5138" s="199"/>
      <c r="J5138" s="199"/>
    </row>
    <row r="5139" spans="9:10" x14ac:dyDescent="0.25">
      <c r="I5139" s="199"/>
      <c r="J5139" s="199"/>
    </row>
    <row r="5140" spans="9:10" x14ac:dyDescent="0.25">
      <c r="I5140" s="199"/>
      <c r="J5140" s="199"/>
    </row>
    <row r="5141" spans="9:10" x14ac:dyDescent="0.25">
      <c r="I5141" s="199"/>
      <c r="J5141" s="199"/>
    </row>
    <row r="5142" spans="9:10" x14ac:dyDescent="0.25">
      <c r="I5142" s="199"/>
      <c r="J5142" s="199"/>
    </row>
    <row r="5143" spans="9:10" x14ac:dyDescent="0.25">
      <c r="I5143" s="199"/>
      <c r="J5143" s="199"/>
    </row>
    <row r="5144" spans="9:10" x14ac:dyDescent="0.25">
      <c r="I5144" s="199"/>
      <c r="J5144" s="199"/>
    </row>
    <row r="5145" spans="9:10" x14ac:dyDescent="0.25">
      <c r="I5145" s="199"/>
      <c r="J5145" s="199"/>
    </row>
    <row r="5146" spans="9:10" x14ac:dyDescent="0.25">
      <c r="I5146" s="199"/>
      <c r="J5146" s="199"/>
    </row>
    <row r="5147" spans="9:10" x14ac:dyDescent="0.25">
      <c r="I5147" s="199"/>
      <c r="J5147" s="199"/>
    </row>
    <row r="5148" spans="9:10" x14ac:dyDescent="0.25">
      <c r="I5148" s="199"/>
      <c r="J5148" s="199"/>
    </row>
    <row r="5149" spans="9:10" x14ac:dyDescent="0.25">
      <c r="I5149" s="199"/>
      <c r="J5149" s="199"/>
    </row>
    <row r="5150" spans="9:10" x14ac:dyDescent="0.25">
      <c r="I5150" s="199"/>
      <c r="J5150" s="199"/>
    </row>
    <row r="5151" spans="9:10" x14ac:dyDescent="0.25">
      <c r="I5151" s="199"/>
      <c r="J5151" s="199"/>
    </row>
    <row r="5152" spans="9:10" x14ac:dyDescent="0.25">
      <c r="I5152" s="199"/>
      <c r="J5152" s="199"/>
    </row>
    <row r="5153" spans="9:10" x14ac:dyDescent="0.25">
      <c r="I5153" s="199"/>
      <c r="J5153" s="199"/>
    </row>
    <row r="5154" spans="9:10" x14ac:dyDescent="0.25">
      <c r="I5154" s="199"/>
      <c r="J5154" s="199"/>
    </row>
    <row r="5155" spans="9:10" x14ac:dyDescent="0.25">
      <c r="I5155" s="199"/>
      <c r="J5155" s="199"/>
    </row>
    <row r="5156" spans="9:10" x14ac:dyDescent="0.25">
      <c r="I5156" s="199"/>
      <c r="J5156" s="199"/>
    </row>
    <row r="5157" spans="9:10" x14ac:dyDescent="0.25">
      <c r="I5157" s="199"/>
      <c r="J5157" s="199"/>
    </row>
    <row r="5158" spans="9:10" x14ac:dyDescent="0.25">
      <c r="I5158" s="199"/>
      <c r="J5158" s="199"/>
    </row>
    <row r="5159" spans="9:10" x14ac:dyDescent="0.25">
      <c r="I5159" s="199"/>
      <c r="J5159" s="199"/>
    </row>
    <row r="5160" spans="9:10" x14ac:dyDescent="0.25">
      <c r="I5160" s="199"/>
      <c r="J5160" s="199"/>
    </row>
    <row r="5161" spans="9:10" x14ac:dyDescent="0.25">
      <c r="I5161" s="199"/>
      <c r="J5161" s="199"/>
    </row>
    <row r="5162" spans="9:10" x14ac:dyDescent="0.25">
      <c r="I5162" s="199"/>
      <c r="J5162" s="199"/>
    </row>
    <row r="5163" spans="9:10" x14ac:dyDescent="0.25">
      <c r="I5163" s="199"/>
      <c r="J5163" s="199"/>
    </row>
    <row r="5164" spans="9:10" x14ac:dyDescent="0.25">
      <c r="I5164" s="199"/>
      <c r="J5164" s="199"/>
    </row>
    <row r="5165" spans="9:10" x14ac:dyDescent="0.25">
      <c r="I5165" s="199"/>
      <c r="J5165" s="199"/>
    </row>
    <row r="5166" spans="9:10" x14ac:dyDescent="0.25">
      <c r="I5166" s="199"/>
      <c r="J5166" s="199"/>
    </row>
    <row r="5167" spans="9:10" x14ac:dyDescent="0.25">
      <c r="I5167" s="199"/>
      <c r="J5167" s="199"/>
    </row>
    <row r="5168" spans="9:10" x14ac:dyDescent="0.25">
      <c r="I5168" s="199"/>
      <c r="J5168" s="199"/>
    </row>
    <row r="5169" spans="9:10" x14ac:dyDescent="0.25">
      <c r="I5169" s="199"/>
      <c r="J5169" s="199"/>
    </row>
    <row r="5170" spans="9:10" x14ac:dyDescent="0.25">
      <c r="I5170" s="199"/>
      <c r="J5170" s="199"/>
    </row>
    <row r="5171" spans="9:10" x14ac:dyDescent="0.25">
      <c r="I5171" s="199"/>
      <c r="J5171" s="199"/>
    </row>
    <row r="5172" spans="9:10" x14ac:dyDescent="0.25">
      <c r="I5172" s="199"/>
      <c r="J5172" s="199"/>
    </row>
    <row r="5173" spans="9:10" x14ac:dyDescent="0.25">
      <c r="I5173" s="199"/>
      <c r="J5173" s="199"/>
    </row>
    <row r="5174" spans="9:10" x14ac:dyDescent="0.25">
      <c r="I5174" s="199"/>
      <c r="J5174" s="199"/>
    </row>
    <row r="5175" spans="9:10" x14ac:dyDescent="0.25">
      <c r="I5175" s="199"/>
      <c r="J5175" s="199"/>
    </row>
    <row r="5176" spans="9:10" x14ac:dyDescent="0.25">
      <c r="I5176" s="199"/>
      <c r="J5176" s="199"/>
    </row>
    <row r="5177" spans="9:10" x14ac:dyDescent="0.25">
      <c r="I5177" s="199"/>
      <c r="J5177" s="199"/>
    </row>
    <row r="5178" spans="9:10" x14ac:dyDescent="0.25">
      <c r="I5178" s="199"/>
      <c r="J5178" s="199"/>
    </row>
    <row r="5179" spans="9:10" x14ac:dyDescent="0.25">
      <c r="I5179" s="199"/>
      <c r="J5179" s="199"/>
    </row>
    <row r="5180" spans="9:10" x14ac:dyDescent="0.25">
      <c r="I5180" s="199"/>
      <c r="J5180" s="199"/>
    </row>
    <row r="5181" spans="9:10" x14ac:dyDescent="0.25">
      <c r="I5181" s="199"/>
      <c r="J5181" s="199"/>
    </row>
    <row r="5182" spans="9:10" x14ac:dyDescent="0.25">
      <c r="I5182" s="199"/>
      <c r="J5182" s="199"/>
    </row>
    <row r="5183" spans="9:10" x14ac:dyDescent="0.25">
      <c r="I5183" s="199"/>
      <c r="J5183" s="199"/>
    </row>
    <row r="5184" spans="9:10" x14ac:dyDescent="0.25">
      <c r="I5184" s="199"/>
      <c r="J5184" s="199"/>
    </row>
    <row r="5185" spans="9:10" x14ac:dyDescent="0.25">
      <c r="I5185" s="199"/>
      <c r="J5185" s="199"/>
    </row>
    <row r="5186" spans="9:10" x14ac:dyDescent="0.25">
      <c r="I5186" s="199"/>
      <c r="J5186" s="199"/>
    </row>
    <row r="5187" spans="9:10" x14ac:dyDescent="0.25">
      <c r="I5187" s="199"/>
      <c r="J5187" s="199"/>
    </row>
    <row r="5188" spans="9:10" x14ac:dyDescent="0.25">
      <c r="I5188" s="199"/>
      <c r="J5188" s="199"/>
    </row>
    <row r="5189" spans="9:10" x14ac:dyDescent="0.25">
      <c r="I5189" s="199"/>
      <c r="J5189" s="199"/>
    </row>
    <row r="5190" spans="9:10" x14ac:dyDescent="0.25">
      <c r="I5190" s="199"/>
      <c r="J5190" s="199"/>
    </row>
    <row r="5191" spans="9:10" x14ac:dyDescent="0.25">
      <c r="I5191" s="199"/>
      <c r="J5191" s="199"/>
    </row>
    <row r="5192" spans="9:10" x14ac:dyDescent="0.25">
      <c r="I5192" s="199"/>
      <c r="J5192" s="199"/>
    </row>
    <row r="5193" spans="9:10" x14ac:dyDescent="0.25">
      <c r="I5193" s="199"/>
      <c r="J5193" s="199"/>
    </row>
    <row r="5194" spans="9:10" x14ac:dyDescent="0.25">
      <c r="I5194" s="199"/>
      <c r="J5194" s="199"/>
    </row>
    <row r="5195" spans="9:10" x14ac:dyDescent="0.25">
      <c r="I5195" s="199"/>
      <c r="J5195" s="199"/>
    </row>
    <row r="5196" spans="9:10" x14ac:dyDescent="0.25">
      <c r="I5196" s="199"/>
      <c r="J5196" s="199"/>
    </row>
    <row r="5197" spans="9:10" x14ac:dyDescent="0.25">
      <c r="I5197" s="199"/>
      <c r="J5197" s="199"/>
    </row>
    <row r="5198" spans="9:10" x14ac:dyDescent="0.25">
      <c r="I5198" s="199"/>
      <c r="J5198" s="199"/>
    </row>
    <row r="5199" spans="9:10" x14ac:dyDescent="0.25">
      <c r="I5199" s="199"/>
      <c r="J5199" s="199"/>
    </row>
    <row r="5200" spans="9:10" x14ac:dyDescent="0.25">
      <c r="I5200" s="199"/>
      <c r="J5200" s="199"/>
    </row>
    <row r="5201" spans="9:10" x14ac:dyDescent="0.25">
      <c r="I5201" s="199"/>
      <c r="J5201" s="199"/>
    </row>
    <row r="5202" spans="9:10" x14ac:dyDescent="0.25">
      <c r="I5202" s="199"/>
      <c r="J5202" s="199"/>
    </row>
    <row r="5203" spans="9:10" x14ac:dyDescent="0.25">
      <c r="I5203" s="199"/>
      <c r="J5203" s="199"/>
    </row>
    <row r="5204" spans="9:10" x14ac:dyDescent="0.25">
      <c r="I5204" s="199"/>
      <c r="J5204" s="199"/>
    </row>
    <row r="5205" spans="9:10" x14ac:dyDescent="0.25">
      <c r="I5205" s="199"/>
      <c r="J5205" s="199"/>
    </row>
    <row r="5206" spans="9:10" x14ac:dyDescent="0.25">
      <c r="I5206" s="199"/>
      <c r="J5206" s="199"/>
    </row>
    <row r="5207" spans="9:10" x14ac:dyDescent="0.25">
      <c r="I5207" s="199"/>
      <c r="J5207" s="199"/>
    </row>
    <row r="5208" spans="9:10" x14ac:dyDescent="0.25">
      <c r="I5208" s="199"/>
      <c r="J5208" s="199"/>
    </row>
    <row r="5209" spans="9:10" x14ac:dyDescent="0.25">
      <c r="I5209" s="199"/>
      <c r="J5209" s="199"/>
    </row>
    <row r="5210" spans="9:10" x14ac:dyDescent="0.25">
      <c r="I5210" s="199"/>
      <c r="J5210" s="199"/>
    </row>
    <row r="5211" spans="9:10" x14ac:dyDescent="0.25">
      <c r="I5211" s="199"/>
      <c r="J5211" s="199"/>
    </row>
    <row r="5212" spans="9:10" x14ac:dyDescent="0.25">
      <c r="I5212" s="199"/>
      <c r="J5212" s="199"/>
    </row>
    <row r="5213" spans="9:10" x14ac:dyDescent="0.25">
      <c r="I5213" s="199"/>
      <c r="J5213" s="199"/>
    </row>
    <row r="5214" spans="9:10" x14ac:dyDescent="0.25">
      <c r="I5214" s="199"/>
      <c r="J5214" s="199"/>
    </row>
    <row r="5215" spans="9:10" x14ac:dyDescent="0.25">
      <c r="I5215" s="199"/>
      <c r="J5215" s="199"/>
    </row>
    <row r="5216" spans="9:10" x14ac:dyDescent="0.25">
      <c r="I5216" s="199"/>
      <c r="J5216" s="199"/>
    </row>
    <row r="5217" spans="9:10" x14ac:dyDescent="0.25">
      <c r="I5217" s="199"/>
      <c r="J5217" s="199"/>
    </row>
    <row r="5218" spans="9:10" x14ac:dyDescent="0.25">
      <c r="I5218" s="199"/>
      <c r="J5218" s="199"/>
    </row>
    <row r="5219" spans="9:10" x14ac:dyDescent="0.25">
      <c r="I5219" s="199"/>
      <c r="J5219" s="199"/>
    </row>
    <row r="5220" spans="9:10" x14ac:dyDescent="0.25">
      <c r="I5220" s="199"/>
      <c r="J5220" s="199"/>
    </row>
    <row r="5221" spans="9:10" x14ac:dyDescent="0.25">
      <c r="I5221" s="199"/>
      <c r="J5221" s="199"/>
    </row>
    <row r="5222" spans="9:10" x14ac:dyDescent="0.25">
      <c r="I5222" s="199"/>
      <c r="J5222" s="199"/>
    </row>
    <row r="5223" spans="9:10" x14ac:dyDescent="0.25">
      <c r="I5223" s="199"/>
      <c r="J5223" s="199"/>
    </row>
    <row r="5224" spans="9:10" x14ac:dyDescent="0.25">
      <c r="I5224" s="199"/>
      <c r="J5224" s="199"/>
    </row>
    <row r="5225" spans="9:10" x14ac:dyDescent="0.25">
      <c r="I5225" s="199"/>
      <c r="J5225" s="199"/>
    </row>
    <row r="5226" spans="9:10" x14ac:dyDescent="0.25">
      <c r="I5226" s="199"/>
      <c r="J5226" s="199"/>
    </row>
    <row r="5227" spans="9:10" x14ac:dyDescent="0.25">
      <c r="I5227" s="199"/>
      <c r="J5227" s="199"/>
    </row>
    <row r="5228" spans="9:10" x14ac:dyDescent="0.25">
      <c r="I5228" s="199"/>
      <c r="J5228" s="199"/>
    </row>
    <row r="5229" spans="9:10" x14ac:dyDescent="0.25">
      <c r="I5229" s="199"/>
      <c r="J5229" s="199"/>
    </row>
    <row r="5230" spans="9:10" x14ac:dyDescent="0.25">
      <c r="I5230" s="199"/>
      <c r="J5230" s="199"/>
    </row>
    <row r="5231" spans="9:10" x14ac:dyDescent="0.25">
      <c r="I5231" s="199"/>
      <c r="J5231" s="199"/>
    </row>
    <row r="5232" spans="9:10" x14ac:dyDescent="0.25">
      <c r="I5232" s="199"/>
      <c r="J5232" s="199"/>
    </row>
    <row r="5233" spans="9:10" x14ac:dyDescent="0.25">
      <c r="I5233" s="199"/>
      <c r="J5233" s="199"/>
    </row>
    <row r="5234" spans="9:10" x14ac:dyDescent="0.25">
      <c r="I5234" s="199"/>
      <c r="J5234" s="199"/>
    </row>
    <row r="5235" spans="9:10" x14ac:dyDescent="0.25">
      <c r="I5235" s="199"/>
      <c r="J5235" s="199"/>
    </row>
    <row r="5236" spans="9:10" x14ac:dyDescent="0.25">
      <c r="I5236" s="199"/>
      <c r="J5236" s="199"/>
    </row>
    <row r="5237" spans="9:10" x14ac:dyDescent="0.25">
      <c r="I5237" s="199"/>
      <c r="J5237" s="199"/>
    </row>
    <row r="5238" spans="9:10" x14ac:dyDescent="0.25">
      <c r="I5238" s="199"/>
      <c r="J5238" s="199"/>
    </row>
    <row r="5239" spans="9:10" x14ac:dyDescent="0.25">
      <c r="I5239" s="199"/>
      <c r="J5239" s="199"/>
    </row>
    <row r="5240" spans="9:10" x14ac:dyDescent="0.25">
      <c r="I5240" s="199"/>
      <c r="J5240" s="199"/>
    </row>
    <row r="5241" spans="9:10" x14ac:dyDescent="0.25">
      <c r="I5241" s="199"/>
      <c r="J5241" s="199"/>
    </row>
    <row r="5242" spans="9:10" x14ac:dyDescent="0.25">
      <c r="I5242" s="199"/>
      <c r="J5242" s="199"/>
    </row>
    <row r="5243" spans="9:10" x14ac:dyDescent="0.25">
      <c r="I5243" s="199"/>
      <c r="J5243" s="199"/>
    </row>
    <row r="5244" spans="9:10" x14ac:dyDescent="0.25">
      <c r="I5244" s="199"/>
      <c r="J5244" s="199"/>
    </row>
    <row r="5245" spans="9:10" x14ac:dyDescent="0.25">
      <c r="I5245" s="199"/>
      <c r="J5245" s="199"/>
    </row>
    <row r="5246" spans="9:10" x14ac:dyDescent="0.25">
      <c r="I5246" s="199"/>
      <c r="J5246" s="199"/>
    </row>
    <row r="5247" spans="9:10" x14ac:dyDescent="0.25">
      <c r="I5247" s="199"/>
      <c r="J5247" s="199"/>
    </row>
    <row r="5248" spans="9:10" x14ac:dyDescent="0.25">
      <c r="I5248" s="199"/>
      <c r="J5248" s="199"/>
    </row>
    <row r="5249" spans="9:10" x14ac:dyDescent="0.25">
      <c r="I5249" s="199"/>
      <c r="J5249" s="199"/>
    </row>
    <row r="5250" spans="9:10" x14ac:dyDescent="0.25">
      <c r="I5250" s="199"/>
      <c r="J5250" s="199"/>
    </row>
    <row r="5251" spans="9:10" x14ac:dyDescent="0.25">
      <c r="I5251" s="199"/>
      <c r="J5251" s="199"/>
    </row>
    <row r="5252" spans="9:10" x14ac:dyDescent="0.25">
      <c r="I5252" s="199"/>
      <c r="J5252" s="199"/>
    </row>
    <row r="5253" spans="9:10" x14ac:dyDescent="0.25">
      <c r="I5253" s="199"/>
      <c r="J5253" s="199"/>
    </row>
    <row r="5254" spans="9:10" x14ac:dyDescent="0.25">
      <c r="I5254" s="199"/>
      <c r="J5254" s="199"/>
    </row>
    <row r="5255" spans="9:10" x14ac:dyDescent="0.25">
      <c r="I5255" s="199"/>
      <c r="J5255" s="199"/>
    </row>
    <row r="5256" spans="9:10" x14ac:dyDescent="0.25">
      <c r="I5256" s="199"/>
      <c r="J5256" s="199"/>
    </row>
    <row r="5257" spans="9:10" x14ac:dyDescent="0.25">
      <c r="I5257" s="199"/>
      <c r="J5257" s="199"/>
    </row>
    <row r="5258" spans="9:10" x14ac:dyDescent="0.25">
      <c r="I5258" s="199"/>
      <c r="J5258" s="199"/>
    </row>
    <row r="5259" spans="9:10" x14ac:dyDescent="0.25">
      <c r="I5259" s="199"/>
      <c r="J5259" s="199"/>
    </row>
    <row r="5260" spans="9:10" x14ac:dyDescent="0.25">
      <c r="I5260" s="199"/>
      <c r="J5260" s="199"/>
    </row>
    <row r="5261" spans="9:10" x14ac:dyDescent="0.25">
      <c r="I5261" s="199"/>
      <c r="J5261" s="199"/>
    </row>
    <row r="5262" spans="9:10" x14ac:dyDescent="0.25">
      <c r="I5262" s="199"/>
      <c r="J5262" s="199"/>
    </row>
    <row r="5263" spans="9:10" x14ac:dyDescent="0.25">
      <c r="I5263" s="199"/>
      <c r="J5263" s="199"/>
    </row>
    <row r="5264" spans="9:10" x14ac:dyDescent="0.25">
      <c r="I5264" s="199"/>
      <c r="J5264" s="199"/>
    </row>
    <row r="5265" spans="9:10" x14ac:dyDescent="0.25">
      <c r="I5265" s="199"/>
      <c r="J5265" s="199"/>
    </row>
    <row r="5266" spans="9:10" x14ac:dyDescent="0.25">
      <c r="I5266" s="199"/>
      <c r="J5266" s="199"/>
    </row>
    <row r="5267" spans="9:10" x14ac:dyDescent="0.25">
      <c r="I5267" s="199"/>
      <c r="J5267" s="199"/>
    </row>
    <row r="5268" spans="9:10" x14ac:dyDescent="0.25">
      <c r="I5268" s="199"/>
      <c r="J5268" s="199"/>
    </row>
    <row r="5269" spans="9:10" x14ac:dyDescent="0.25">
      <c r="I5269" s="199"/>
      <c r="J5269" s="199"/>
    </row>
    <row r="5270" spans="9:10" x14ac:dyDescent="0.25">
      <c r="I5270" s="199"/>
      <c r="J5270" s="199"/>
    </row>
    <row r="5271" spans="9:10" x14ac:dyDescent="0.25">
      <c r="I5271" s="199"/>
      <c r="J5271" s="199"/>
    </row>
    <row r="5272" spans="9:10" x14ac:dyDescent="0.25">
      <c r="I5272" s="199"/>
      <c r="J5272" s="199"/>
    </row>
    <row r="5273" spans="9:10" x14ac:dyDescent="0.25">
      <c r="I5273" s="199"/>
      <c r="J5273" s="199"/>
    </row>
    <row r="5274" spans="9:10" x14ac:dyDescent="0.25">
      <c r="I5274" s="199"/>
      <c r="J5274" s="199"/>
    </row>
    <row r="5275" spans="9:10" x14ac:dyDescent="0.25">
      <c r="I5275" s="199"/>
      <c r="J5275" s="199"/>
    </row>
    <row r="5276" spans="9:10" x14ac:dyDescent="0.25">
      <c r="I5276" s="199"/>
      <c r="J5276" s="199"/>
    </row>
    <row r="5277" spans="9:10" x14ac:dyDescent="0.25">
      <c r="I5277" s="199"/>
      <c r="J5277" s="199"/>
    </row>
    <row r="5278" spans="9:10" x14ac:dyDescent="0.25">
      <c r="I5278" s="199"/>
      <c r="J5278" s="199"/>
    </row>
    <row r="5279" spans="9:10" x14ac:dyDescent="0.25">
      <c r="I5279" s="199"/>
      <c r="J5279" s="199"/>
    </row>
    <row r="5280" spans="9:10" x14ac:dyDescent="0.25">
      <c r="I5280" s="199"/>
      <c r="J5280" s="199"/>
    </row>
    <row r="5281" spans="9:10" x14ac:dyDescent="0.25">
      <c r="I5281" s="199"/>
      <c r="J5281" s="199"/>
    </row>
    <row r="5282" spans="9:10" x14ac:dyDescent="0.25">
      <c r="I5282" s="199"/>
      <c r="J5282" s="199"/>
    </row>
    <row r="5283" spans="9:10" x14ac:dyDescent="0.25">
      <c r="I5283" s="199"/>
      <c r="J5283" s="199"/>
    </row>
    <row r="5284" spans="9:10" x14ac:dyDescent="0.25">
      <c r="I5284" s="199"/>
      <c r="J5284" s="199"/>
    </row>
    <row r="5285" spans="9:10" x14ac:dyDescent="0.25">
      <c r="I5285" s="199"/>
      <c r="J5285" s="199"/>
    </row>
    <row r="5286" spans="9:10" x14ac:dyDescent="0.25">
      <c r="I5286" s="199"/>
      <c r="J5286" s="199"/>
    </row>
    <row r="5287" spans="9:10" x14ac:dyDescent="0.25">
      <c r="I5287" s="199"/>
      <c r="J5287" s="199"/>
    </row>
    <row r="5288" spans="9:10" x14ac:dyDescent="0.25">
      <c r="I5288" s="199"/>
      <c r="J5288" s="199"/>
    </row>
    <row r="5289" spans="9:10" x14ac:dyDescent="0.25">
      <c r="I5289" s="199"/>
      <c r="J5289" s="199"/>
    </row>
    <row r="5290" spans="9:10" x14ac:dyDescent="0.25">
      <c r="I5290" s="199"/>
      <c r="J5290" s="199"/>
    </row>
    <row r="5291" spans="9:10" x14ac:dyDescent="0.25">
      <c r="I5291" s="199"/>
      <c r="J5291" s="199"/>
    </row>
    <row r="5292" spans="9:10" x14ac:dyDescent="0.25">
      <c r="I5292" s="199"/>
      <c r="J5292" s="199"/>
    </row>
    <row r="5293" spans="9:10" x14ac:dyDescent="0.25">
      <c r="I5293" s="199"/>
      <c r="J5293" s="199"/>
    </row>
    <row r="5294" spans="9:10" x14ac:dyDescent="0.25">
      <c r="I5294" s="199"/>
      <c r="J5294" s="199"/>
    </row>
    <row r="5295" spans="9:10" x14ac:dyDescent="0.25">
      <c r="I5295" s="199"/>
      <c r="J5295" s="199"/>
    </row>
    <row r="5296" spans="9:10" x14ac:dyDescent="0.25">
      <c r="I5296" s="199"/>
      <c r="J5296" s="199"/>
    </row>
    <row r="5297" spans="9:10" x14ac:dyDescent="0.25">
      <c r="I5297" s="199"/>
      <c r="J5297" s="199"/>
    </row>
    <row r="5298" spans="9:10" x14ac:dyDescent="0.25">
      <c r="I5298" s="199"/>
      <c r="J5298" s="199"/>
    </row>
    <row r="5299" spans="9:10" x14ac:dyDescent="0.25">
      <c r="I5299" s="199"/>
      <c r="J5299" s="199"/>
    </row>
    <row r="5300" spans="9:10" x14ac:dyDescent="0.25">
      <c r="I5300" s="199"/>
      <c r="J5300" s="199"/>
    </row>
    <row r="5301" spans="9:10" x14ac:dyDescent="0.25">
      <c r="I5301" s="199"/>
      <c r="J5301" s="199"/>
    </row>
    <row r="5302" spans="9:10" x14ac:dyDescent="0.25">
      <c r="I5302" s="199"/>
      <c r="J5302" s="199"/>
    </row>
    <row r="5303" spans="9:10" x14ac:dyDescent="0.25">
      <c r="I5303" s="199"/>
      <c r="J5303" s="199"/>
    </row>
    <row r="5304" spans="9:10" x14ac:dyDescent="0.25">
      <c r="I5304" s="199"/>
      <c r="J5304" s="199"/>
    </row>
    <row r="5305" spans="9:10" x14ac:dyDescent="0.25">
      <c r="I5305" s="199"/>
      <c r="J5305" s="199"/>
    </row>
    <row r="5306" spans="9:10" x14ac:dyDescent="0.25">
      <c r="I5306" s="199"/>
      <c r="J5306" s="199"/>
    </row>
    <row r="5307" spans="9:10" x14ac:dyDescent="0.25">
      <c r="I5307" s="199"/>
      <c r="J5307" s="199"/>
    </row>
    <row r="5308" spans="9:10" x14ac:dyDescent="0.25">
      <c r="I5308" s="199"/>
      <c r="J5308" s="199"/>
    </row>
    <row r="5309" spans="9:10" x14ac:dyDescent="0.25">
      <c r="I5309" s="199"/>
      <c r="J5309" s="199"/>
    </row>
    <row r="5310" spans="9:10" x14ac:dyDescent="0.25">
      <c r="I5310" s="199"/>
      <c r="J5310" s="199"/>
    </row>
    <row r="5311" spans="9:10" x14ac:dyDescent="0.25">
      <c r="I5311" s="199"/>
      <c r="J5311" s="199"/>
    </row>
    <row r="5312" spans="9:10" x14ac:dyDescent="0.25">
      <c r="I5312" s="199"/>
      <c r="J5312" s="199"/>
    </row>
    <row r="5313" spans="9:10" x14ac:dyDescent="0.25">
      <c r="I5313" s="199"/>
      <c r="J5313" s="199"/>
    </row>
    <row r="5314" spans="9:10" x14ac:dyDescent="0.25">
      <c r="I5314" s="199"/>
      <c r="J5314" s="199"/>
    </row>
    <row r="5315" spans="9:10" x14ac:dyDescent="0.25">
      <c r="I5315" s="199"/>
      <c r="J5315" s="199"/>
    </row>
    <row r="5316" spans="9:10" x14ac:dyDescent="0.25">
      <c r="I5316" s="199"/>
      <c r="J5316" s="199"/>
    </row>
    <row r="5317" spans="9:10" x14ac:dyDescent="0.25">
      <c r="I5317" s="199"/>
      <c r="J5317" s="199"/>
    </row>
    <row r="5318" spans="9:10" x14ac:dyDescent="0.25">
      <c r="I5318" s="199"/>
      <c r="J5318" s="199"/>
    </row>
    <row r="5319" spans="9:10" x14ac:dyDescent="0.25">
      <c r="I5319" s="199"/>
      <c r="J5319" s="199"/>
    </row>
    <row r="5320" spans="9:10" x14ac:dyDescent="0.25">
      <c r="I5320" s="199"/>
      <c r="J5320" s="199"/>
    </row>
    <row r="5321" spans="9:10" x14ac:dyDescent="0.25">
      <c r="I5321" s="199"/>
      <c r="J5321" s="199"/>
    </row>
    <row r="5322" spans="9:10" x14ac:dyDescent="0.25">
      <c r="I5322" s="199"/>
      <c r="J5322" s="199"/>
    </row>
    <row r="5323" spans="9:10" x14ac:dyDescent="0.25">
      <c r="I5323" s="199"/>
      <c r="J5323" s="199"/>
    </row>
    <row r="5324" spans="9:10" x14ac:dyDescent="0.25">
      <c r="I5324" s="199"/>
      <c r="J5324" s="199"/>
    </row>
    <row r="5325" spans="9:10" x14ac:dyDescent="0.25">
      <c r="I5325" s="199"/>
      <c r="J5325" s="199"/>
    </row>
    <row r="5326" spans="9:10" x14ac:dyDescent="0.25">
      <c r="I5326" s="199"/>
      <c r="J5326" s="199"/>
    </row>
    <row r="5327" spans="9:10" x14ac:dyDescent="0.25">
      <c r="I5327" s="199"/>
      <c r="J5327" s="199"/>
    </row>
    <row r="5328" spans="9:10" x14ac:dyDescent="0.25">
      <c r="I5328" s="199"/>
      <c r="J5328" s="199"/>
    </row>
    <row r="5329" spans="9:10" x14ac:dyDescent="0.25">
      <c r="I5329" s="199"/>
      <c r="J5329" s="199"/>
    </row>
    <row r="5330" spans="9:10" x14ac:dyDescent="0.25">
      <c r="I5330" s="199"/>
      <c r="J5330" s="199"/>
    </row>
    <row r="5331" spans="9:10" x14ac:dyDescent="0.25">
      <c r="I5331" s="199"/>
      <c r="J5331" s="199"/>
    </row>
    <row r="5332" spans="9:10" x14ac:dyDescent="0.25">
      <c r="I5332" s="199"/>
      <c r="J5332" s="199"/>
    </row>
    <row r="5333" spans="9:10" x14ac:dyDescent="0.25">
      <c r="I5333" s="199"/>
      <c r="J5333" s="199"/>
    </row>
    <row r="5334" spans="9:10" x14ac:dyDescent="0.25">
      <c r="I5334" s="199"/>
      <c r="J5334" s="199"/>
    </row>
    <row r="5335" spans="9:10" x14ac:dyDescent="0.25">
      <c r="I5335" s="199"/>
      <c r="J5335" s="199"/>
    </row>
    <row r="5336" spans="9:10" x14ac:dyDescent="0.25">
      <c r="I5336" s="199"/>
      <c r="J5336" s="199"/>
    </row>
    <row r="5337" spans="9:10" x14ac:dyDescent="0.25">
      <c r="I5337" s="199"/>
      <c r="J5337" s="199"/>
    </row>
    <row r="5338" spans="9:10" x14ac:dyDescent="0.25">
      <c r="I5338" s="199"/>
      <c r="J5338" s="199"/>
    </row>
    <row r="5339" spans="9:10" x14ac:dyDescent="0.25">
      <c r="I5339" s="199"/>
      <c r="J5339" s="199"/>
    </row>
    <row r="5340" spans="9:10" x14ac:dyDescent="0.25">
      <c r="I5340" s="199"/>
      <c r="J5340" s="199"/>
    </row>
    <row r="5341" spans="9:10" x14ac:dyDescent="0.25">
      <c r="I5341" s="199"/>
      <c r="J5341" s="199"/>
    </row>
    <row r="5342" spans="9:10" x14ac:dyDescent="0.25">
      <c r="I5342" s="199"/>
      <c r="J5342" s="199"/>
    </row>
    <row r="5343" spans="9:10" x14ac:dyDescent="0.25">
      <c r="I5343" s="199"/>
      <c r="J5343" s="199"/>
    </row>
    <row r="5344" spans="9:10" x14ac:dyDescent="0.25">
      <c r="I5344" s="199"/>
      <c r="J5344" s="199"/>
    </row>
    <row r="5345" spans="9:10" x14ac:dyDescent="0.25">
      <c r="I5345" s="199"/>
      <c r="J5345" s="199"/>
    </row>
    <row r="5346" spans="9:10" x14ac:dyDescent="0.25">
      <c r="I5346" s="199"/>
      <c r="J5346" s="199"/>
    </row>
    <row r="5347" spans="9:10" x14ac:dyDescent="0.25">
      <c r="I5347" s="199"/>
      <c r="J5347" s="199"/>
    </row>
    <row r="5348" spans="9:10" x14ac:dyDescent="0.25">
      <c r="I5348" s="199"/>
      <c r="J5348" s="199"/>
    </row>
    <row r="5349" spans="9:10" x14ac:dyDescent="0.25">
      <c r="I5349" s="199"/>
      <c r="J5349" s="199"/>
    </row>
    <row r="5350" spans="9:10" x14ac:dyDescent="0.25">
      <c r="I5350" s="199"/>
      <c r="J5350" s="199"/>
    </row>
    <row r="5351" spans="9:10" x14ac:dyDescent="0.25">
      <c r="I5351" s="199"/>
      <c r="J5351" s="199"/>
    </row>
    <row r="5352" spans="9:10" x14ac:dyDescent="0.25">
      <c r="I5352" s="199"/>
      <c r="J5352" s="199"/>
    </row>
    <row r="5353" spans="9:10" x14ac:dyDescent="0.25">
      <c r="I5353" s="199"/>
      <c r="J5353" s="199"/>
    </row>
    <row r="5354" spans="9:10" x14ac:dyDescent="0.25">
      <c r="I5354" s="199"/>
      <c r="J5354" s="199"/>
    </row>
    <row r="5355" spans="9:10" x14ac:dyDescent="0.25">
      <c r="I5355" s="199"/>
      <c r="J5355" s="199"/>
    </row>
    <row r="5356" spans="9:10" x14ac:dyDescent="0.25">
      <c r="I5356" s="199"/>
      <c r="J5356" s="199"/>
    </row>
    <row r="5357" spans="9:10" x14ac:dyDescent="0.25">
      <c r="I5357" s="199"/>
      <c r="J5357" s="199"/>
    </row>
    <row r="5358" spans="9:10" x14ac:dyDescent="0.25">
      <c r="I5358" s="199"/>
      <c r="J5358" s="199"/>
    </row>
    <row r="5359" spans="9:10" x14ac:dyDescent="0.25">
      <c r="I5359" s="199"/>
      <c r="J5359" s="199"/>
    </row>
    <row r="5360" spans="9:10" x14ac:dyDescent="0.25">
      <c r="I5360" s="199"/>
      <c r="J5360" s="199"/>
    </row>
    <row r="5361" spans="9:10" x14ac:dyDescent="0.25">
      <c r="I5361" s="199"/>
      <c r="J5361" s="199"/>
    </row>
    <row r="5362" spans="9:10" x14ac:dyDescent="0.25">
      <c r="I5362" s="199"/>
      <c r="J5362" s="199"/>
    </row>
    <row r="5363" spans="9:10" x14ac:dyDescent="0.25">
      <c r="I5363" s="199"/>
      <c r="J5363" s="199"/>
    </row>
    <row r="5364" spans="9:10" x14ac:dyDescent="0.25">
      <c r="I5364" s="199"/>
      <c r="J5364" s="199"/>
    </row>
    <row r="5365" spans="9:10" x14ac:dyDescent="0.25">
      <c r="I5365" s="199"/>
      <c r="J5365" s="199"/>
    </row>
    <row r="5366" spans="9:10" x14ac:dyDescent="0.25">
      <c r="I5366" s="199"/>
      <c r="J5366" s="199"/>
    </row>
    <row r="5367" spans="9:10" x14ac:dyDescent="0.25">
      <c r="I5367" s="199"/>
      <c r="J5367" s="199"/>
    </row>
    <row r="5368" spans="9:10" x14ac:dyDescent="0.25">
      <c r="I5368" s="199"/>
      <c r="J5368" s="199"/>
    </row>
    <row r="5369" spans="9:10" x14ac:dyDescent="0.25">
      <c r="I5369" s="199"/>
      <c r="J5369" s="199"/>
    </row>
    <row r="5370" spans="9:10" x14ac:dyDescent="0.25">
      <c r="I5370" s="199"/>
      <c r="J5370" s="199"/>
    </row>
    <row r="5371" spans="9:10" x14ac:dyDescent="0.25">
      <c r="I5371" s="199"/>
      <c r="J5371" s="199"/>
    </row>
    <row r="5372" spans="9:10" x14ac:dyDescent="0.25">
      <c r="I5372" s="199"/>
      <c r="J5372" s="199"/>
    </row>
    <row r="5373" spans="9:10" x14ac:dyDescent="0.25">
      <c r="I5373" s="199"/>
      <c r="J5373" s="199"/>
    </row>
    <row r="5374" spans="9:10" x14ac:dyDescent="0.25">
      <c r="I5374" s="199"/>
      <c r="J5374" s="199"/>
    </row>
    <row r="5375" spans="9:10" x14ac:dyDescent="0.25">
      <c r="I5375" s="199"/>
      <c r="J5375" s="199"/>
    </row>
    <row r="5376" spans="9:10" x14ac:dyDescent="0.25">
      <c r="I5376" s="199"/>
      <c r="J5376" s="199"/>
    </row>
    <row r="5377" spans="9:10" x14ac:dyDescent="0.25">
      <c r="I5377" s="199"/>
      <c r="J5377" s="199"/>
    </row>
    <row r="5378" spans="9:10" x14ac:dyDescent="0.25">
      <c r="I5378" s="199"/>
      <c r="J5378" s="199"/>
    </row>
    <row r="5379" spans="9:10" x14ac:dyDescent="0.25">
      <c r="I5379" s="199"/>
      <c r="J5379" s="199"/>
    </row>
    <row r="5380" spans="9:10" x14ac:dyDescent="0.25">
      <c r="I5380" s="199"/>
      <c r="J5380" s="199"/>
    </row>
    <row r="5381" spans="9:10" x14ac:dyDescent="0.25">
      <c r="I5381" s="199"/>
      <c r="J5381" s="199"/>
    </row>
    <row r="5382" spans="9:10" x14ac:dyDescent="0.25">
      <c r="I5382" s="199"/>
      <c r="J5382" s="199"/>
    </row>
    <row r="5383" spans="9:10" x14ac:dyDescent="0.25">
      <c r="I5383" s="199"/>
      <c r="J5383" s="199"/>
    </row>
    <row r="5384" spans="9:10" x14ac:dyDescent="0.25">
      <c r="I5384" s="199"/>
      <c r="J5384" s="199"/>
    </row>
    <row r="5385" spans="9:10" x14ac:dyDescent="0.25">
      <c r="I5385" s="199"/>
      <c r="J5385" s="199"/>
    </row>
    <row r="5386" spans="9:10" x14ac:dyDescent="0.25">
      <c r="I5386" s="199"/>
      <c r="J5386" s="199"/>
    </row>
    <row r="5387" spans="9:10" x14ac:dyDescent="0.25">
      <c r="I5387" s="199"/>
      <c r="J5387" s="199"/>
    </row>
    <row r="5388" spans="9:10" x14ac:dyDescent="0.25">
      <c r="I5388" s="199"/>
      <c r="J5388" s="199"/>
    </row>
    <row r="5389" spans="9:10" x14ac:dyDescent="0.25">
      <c r="I5389" s="199"/>
      <c r="J5389" s="199"/>
    </row>
    <row r="5390" spans="9:10" x14ac:dyDescent="0.25">
      <c r="I5390" s="199"/>
      <c r="J5390" s="199"/>
    </row>
    <row r="5391" spans="9:10" x14ac:dyDescent="0.25">
      <c r="I5391" s="199"/>
      <c r="J5391" s="199"/>
    </row>
    <row r="5392" spans="9:10" x14ac:dyDescent="0.25">
      <c r="I5392" s="199"/>
      <c r="J5392" s="199"/>
    </row>
    <row r="5393" spans="9:10" x14ac:dyDescent="0.25">
      <c r="I5393" s="199"/>
      <c r="J5393" s="199"/>
    </row>
    <row r="5394" spans="9:10" x14ac:dyDescent="0.25">
      <c r="I5394" s="199"/>
      <c r="J5394" s="199"/>
    </row>
    <row r="5395" spans="9:10" x14ac:dyDescent="0.25">
      <c r="I5395" s="199"/>
      <c r="J5395" s="199"/>
    </row>
    <row r="5396" spans="9:10" x14ac:dyDescent="0.25">
      <c r="I5396" s="199"/>
      <c r="J5396" s="199"/>
    </row>
    <row r="5397" spans="9:10" x14ac:dyDescent="0.25">
      <c r="I5397" s="199"/>
      <c r="J5397" s="199"/>
    </row>
    <row r="5398" spans="9:10" x14ac:dyDescent="0.25">
      <c r="I5398" s="199"/>
      <c r="J5398" s="199"/>
    </row>
    <row r="5399" spans="9:10" x14ac:dyDescent="0.25">
      <c r="I5399" s="199"/>
      <c r="J5399" s="199"/>
    </row>
    <row r="5400" spans="9:10" x14ac:dyDescent="0.25">
      <c r="I5400" s="199"/>
      <c r="J5400" s="199"/>
    </row>
    <row r="5401" spans="9:10" x14ac:dyDescent="0.25">
      <c r="I5401" s="199"/>
      <c r="J5401" s="199"/>
    </row>
    <row r="5402" spans="9:10" x14ac:dyDescent="0.25">
      <c r="I5402" s="199"/>
      <c r="J5402" s="199"/>
    </row>
    <row r="5403" spans="9:10" x14ac:dyDescent="0.25">
      <c r="I5403" s="199"/>
      <c r="J5403" s="199"/>
    </row>
    <row r="5404" spans="9:10" x14ac:dyDescent="0.25">
      <c r="I5404" s="199"/>
      <c r="J5404" s="199"/>
    </row>
    <row r="5405" spans="9:10" x14ac:dyDescent="0.25">
      <c r="I5405" s="199"/>
      <c r="J5405" s="199"/>
    </row>
    <row r="5406" spans="9:10" x14ac:dyDescent="0.25">
      <c r="I5406" s="199"/>
      <c r="J5406" s="199"/>
    </row>
    <row r="5407" spans="9:10" x14ac:dyDescent="0.25">
      <c r="I5407" s="199"/>
      <c r="J5407" s="199"/>
    </row>
    <row r="5408" spans="9:10" x14ac:dyDescent="0.25">
      <c r="I5408" s="199"/>
      <c r="J5408" s="199"/>
    </row>
    <row r="5409" spans="9:10" x14ac:dyDescent="0.25">
      <c r="I5409" s="199"/>
      <c r="J5409" s="199"/>
    </row>
    <row r="5410" spans="9:10" x14ac:dyDescent="0.25">
      <c r="I5410" s="199"/>
      <c r="J5410" s="199"/>
    </row>
    <row r="5411" spans="9:10" x14ac:dyDescent="0.25">
      <c r="I5411" s="199"/>
      <c r="J5411" s="199"/>
    </row>
    <row r="5412" spans="9:10" x14ac:dyDescent="0.25">
      <c r="I5412" s="199"/>
      <c r="J5412" s="199"/>
    </row>
    <row r="5413" spans="9:10" x14ac:dyDescent="0.25">
      <c r="I5413" s="199"/>
      <c r="J5413" s="199"/>
    </row>
    <row r="5414" spans="9:10" x14ac:dyDescent="0.25">
      <c r="I5414" s="199"/>
      <c r="J5414" s="199"/>
    </row>
    <row r="5415" spans="9:10" x14ac:dyDescent="0.25">
      <c r="I5415" s="199"/>
      <c r="J5415" s="199"/>
    </row>
    <row r="5416" spans="9:10" x14ac:dyDescent="0.25">
      <c r="I5416" s="199"/>
      <c r="J5416" s="199"/>
    </row>
    <row r="5417" spans="9:10" x14ac:dyDescent="0.25">
      <c r="I5417" s="199"/>
      <c r="J5417" s="199"/>
    </row>
    <row r="5418" spans="9:10" x14ac:dyDescent="0.25">
      <c r="I5418" s="199"/>
      <c r="J5418" s="199"/>
    </row>
    <row r="5419" spans="9:10" x14ac:dyDescent="0.25">
      <c r="I5419" s="199"/>
      <c r="J5419" s="199"/>
    </row>
    <row r="5420" spans="9:10" x14ac:dyDescent="0.25">
      <c r="I5420" s="199"/>
      <c r="J5420" s="199"/>
    </row>
    <row r="5421" spans="9:10" x14ac:dyDescent="0.25">
      <c r="I5421" s="199"/>
      <c r="J5421" s="199"/>
    </row>
    <row r="5422" spans="9:10" x14ac:dyDescent="0.25">
      <c r="I5422" s="199"/>
      <c r="J5422" s="199"/>
    </row>
    <row r="5423" spans="9:10" x14ac:dyDescent="0.25">
      <c r="I5423" s="199"/>
      <c r="J5423" s="199"/>
    </row>
    <row r="5424" spans="9:10" x14ac:dyDescent="0.25">
      <c r="I5424" s="199"/>
      <c r="J5424" s="199"/>
    </row>
    <row r="5425" spans="9:10" x14ac:dyDescent="0.25">
      <c r="I5425" s="199"/>
      <c r="J5425" s="199"/>
    </row>
    <row r="5426" spans="9:10" x14ac:dyDescent="0.25">
      <c r="I5426" s="199"/>
      <c r="J5426" s="199"/>
    </row>
    <row r="5427" spans="9:10" x14ac:dyDescent="0.25">
      <c r="I5427" s="199"/>
      <c r="J5427" s="199"/>
    </row>
    <row r="5428" spans="9:10" x14ac:dyDescent="0.25">
      <c r="I5428" s="199"/>
      <c r="J5428" s="199"/>
    </row>
    <row r="5429" spans="9:10" x14ac:dyDescent="0.25">
      <c r="I5429" s="199"/>
      <c r="J5429" s="199"/>
    </row>
    <row r="5430" spans="9:10" x14ac:dyDescent="0.25">
      <c r="I5430" s="199"/>
      <c r="J5430" s="199"/>
    </row>
    <row r="5431" spans="9:10" x14ac:dyDescent="0.25">
      <c r="I5431" s="199"/>
      <c r="J5431" s="199"/>
    </row>
    <row r="5432" spans="9:10" x14ac:dyDescent="0.25">
      <c r="I5432" s="199"/>
      <c r="J5432" s="199"/>
    </row>
    <row r="5433" spans="9:10" x14ac:dyDescent="0.25">
      <c r="I5433" s="199"/>
      <c r="J5433" s="199"/>
    </row>
    <row r="5434" spans="9:10" x14ac:dyDescent="0.25">
      <c r="I5434" s="199"/>
      <c r="J5434" s="199"/>
    </row>
    <row r="5435" spans="9:10" x14ac:dyDescent="0.25">
      <c r="I5435" s="199"/>
      <c r="J5435" s="199"/>
    </row>
    <row r="5436" spans="9:10" x14ac:dyDescent="0.25">
      <c r="I5436" s="199"/>
      <c r="J5436" s="199"/>
    </row>
    <row r="5437" spans="9:10" x14ac:dyDescent="0.25">
      <c r="I5437" s="199"/>
      <c r="J5437" s="199"/>
    </row>
    <row r="5438" spans="9:10" x14ac:dyDescent="0.25">
      <c r="I5438" s="199"/>
      <c r="J5438" s="199"/>
    </row>
    <row r="5439" spans="9:10" x14ac:dyDescent="0.25">
      <c r="I5439" s="199"/>
      <c r="J5439" s="199"/>
    </row>
    <row r="5440" spans="9:10" x14ac:dyDescent="0.25">
      <c r="I5440" s="199"/>
      <c r="J5440" s="199"/>
    </row>
    <row r="5441" spans="9:10" x14ac:dyDescent="0.25">
      <c r="I5441" s="199"/>
      <c r="J5441" s="199"/>
    </row>
    <row r="5442" spans="9:10" x14ac:dyDescent="0.25">
      <c r="I5442" s="199"/>
      <c r="J5442" s="199"/>
    </row>
    <row r="5443" spans="9:10" x14ac:dyDescent="0.25">
      <c r="I5443" s="199"/>
      <c r="J5443" s="199"/>
    </row>
    <row r="5444" spans="9:10" x14ac:dyDescent="0.25">
      <c r="I5444" s="199"/>
      <c r="J5444" s="199"/>
    </row>
    <row r="5445" spans="9:10" x14ac:dyDescent="0.25">
      <c r="I5445" s="199"/>
      <c r="J5445" s="199"/>
    </row>
    <row r="5446" spans="9:10" x14ac:dyDescent="0.25">
      <c r="I5446" s="199"/>
      <c r="J5446" s="199"/>
    </row>
    <row r="5447" spans="9:10" x14ac:dyDescent="0.25">
      <c r="I5447" s="199"/>
      <c r="J5447" s="199"/>
    </row>
    <row r="5448" spans="9:10" x14ac:dyDescent="0.25">
      <c r="I5448" s="199"/>
      <c r="J5448" s="199"/>
    </row>
    <row r="5449" spans="9:10" x14ac:dyDescent="0.25">
      <c r="I5449" s="199"/>
      <c r="J5449" s="199"/>
    </row>
    <row r="5450" spans="9:10" x14ac:dyDescent="0.25">
      <c r="I5450" s="199"/>
      <c r="J5450" s="199"/>
    </row>
    <row r="5451" spans="9:10" x14ac:dyDescent="0.25">
      <c r="I5451" s="199"/>
      <c r="J5451" s="199"/>
    </row>
    <row r="5452" spans="9:10" x14ac:dyDescent="0.25">
      <c r="I5452" s="199"/>
      <c r="J5452" s="199"/>
    </row>
    <row r="5453" spans="9:10" x14ac:dyDescent="0.25">
      <c r="I5453" s="199"/>
      <c r="J5453" s="199"/>
    </row>
    <row r="5454" spans="9:10" x14ac:dyDescent="0.25">
      <c r="I5454" s="199"/>
      <c r="J5454" s="199"/>
    </row>
    <row r="5455" spans="9:10" x14ac:dyDescent="0.25">
      <c r="I5455" s="199"/>
      <c r="J5455" s="199"/>
    </row>
    <row r="5456" spans="9:10" x14ac:dyDescent="0.25">
      <c r="I5456" s="199"/>
      <c r="J5456" s="199"/>
    </row>
    <row r="5457" spans="9:10" x14ac:dyDescent="0.25">
      <c r="I5457" s="199"/>
      <c r="J5457" s="199"/>
    </row>
    <row r="5458" spans="9:10" x14ac:dyDescent="0.25">
      <c r="I5458" s="199"/>
      <c r="J5458" s="199"/>
    </row>
    <row r="5459" spans="9:10" x14ac:dyDescent="0.25">
      <c r="I5459" s="199"/>
      <c r="J5459" s="199"/>
    </row>
    <row r="5460" spans="9:10" x14ac:dyDescent="0.25">
      <c r="I5460" s="199"/>
      <c r="J5460" s="199"/>
    </row>
    <row r="5461" spans="9:10" x14ac:dyDescent="0.25">
      <c r="I5461" s="199"/>
      <c r="J5461" s="199"/>
    </row>
    <row r="5462" spans="9:10" x14ac:dyDescent="0.25">
      <c r="I5462" s="199"/>
      <c r="J5462" s="199"/>
    </row>
    <row r="5463" spans="9:10" x14ac:dyDescent="0.25">
      <c r="I5463" s="199"/>
      <c r="J5463" s="199"/>
    </row>
    <row r="5464" spans="9:10" x14ac:dyDescent="0.25">
      <c r="I5464" s="199"/>
      <c r="J5464" s="199"/>
    </row>
    <row r="5465" spans="9:10" x14ac:dyDescent="0.25">
      <c r="I5465" s="199"/>
      <c r="J5465" s="199"/>
    </row>
    <row r="5466" spans="9:10" x14ac:dyDescent="0.25">
      <c r="I5466" s="199"/>
      <c r="J5466" s="199"/>
    </row>
    <row r="5467" spans="9:10" x14ac:dyDescent="0.25">
      <c r="I5467" s="199"/>
      <c r="J5467" s="199"/>
    </row>
    <row r="5468" spans="9:10" x14ac:dyDescent="0.25">
      <c r="I5468" s="199"/>
      <c r="J5468" s="199"/>
    </row>
    <row r="5469" spans="9:10" x14ac:dyDescent="0.25">
      <c r="I5469" s="199"/>
      <c r="J5469" s="199"/>
    </row>
    <row r="5470" spans="9:10" x14ac:dyDescent="0.25">
      <c r="I5470" s="199"/>
      <c r="J5470" s="199"/>
    </row>
    <row r="5471" spans="9:10" x14ac:dyDescent="0.25">
      <c r="I5471" s="199"/>
      <c r="J5471" s="199"/>
    </row>
    <row r="5472" spans="9:10" x14ac:dyDescent="0.25">
      <c r="I5472" s="199"/>
      <c r="J5472" s="199"/>
    </row>
    <row r="5473" spans="9:10" x14ac:dyDescent="0.25">
      <c r="I5473" s="199"/>
      <c r="J5473" s="199"/>
    </row>
    <row r="5474" spans="9:10" x14ac:dyDescent="0.25">
      <c r="I5474" s="199"/>
      <c r="J5474" s="199"/>
    </row>
    <row r="5475" spans="9:10" x14ac:dyDescent="0.25">
      <c r="I5475" s="199"/>
      <c r="J5475" s="199"/>
    </row>
    <row r="5476" spans="9:10" x14ac:dyDescent="0.25">
      <c r="I5476" s="199"/>
      <c r="J5476" s="199"/>
    </row>
    <row r="5477" spans="9:10" x14ac:dyDescent="0.25">
      <c r="I5477" s="199"/>
      <c r="J5477" s="199"/>
    </row>
    <row r="5478" spans="9:10" x14ac:dyDescent="0.25">
      <c r="I5478" s="199"/>
      <c r="J5478" s="199"/>
    </row>
    <row r="5479" spans="9:10" x14ac:dyDescent="0.25">
      <c r="I5479" s="199"/>
      <c r="J5479" s="199"/>
    </row>
    <row r="5480" spans="9:10" x14ac:dyDescent="0.25">
      <c r="I5480" s="199"/>
      <c r="J5480" s="199"/>
    </row>
    <row r="5481" spans="9:10" x14ac:dyDescent="0.25">
      <c r="I5481" s="199"/>
      <c r="J5481" s="199"/>
    </row>
    <row r="5482" spans="9:10" x14ac:dyDescent="0.25">
      <c r="I5482" s="199"/>
      <c r="J5482" s="199"/>
    </row>
    <row r="5483" spans="9:10" x14ac:dyDescent="0.25">
      <c r="I5483" s="199"/>
      <c r="J5483" s="199"/>
    </row>
    <row r="5484" spans="9:10" x14ac:dyDescent="0.25">
      <c r="I5484" s="199"/>
      <c r="J5484" s="199"/>
    </row>
    <row r="5485" spans="9:10" x14ac:dyDescent="0.25">
      <c r="I5485" s="199"/>
      <c r="J5485" s="199"/>
    </row>
    <row r="5486" spans="9:10" x14ac:dyDescent="0.25">
      <c r="I5486" s="199"/>
      <c r="J5486" s="199"/>
    </row>
    <row r="5487" spans="9:10" x14ac:dyDescent="0.25">
      <c r="I5487" s="199"/>
      <c r="J5487" s="199"/>
    </row>
    <row r="5488" spans="9:10" x14ac:dyDescent="0.25">
      <c r="I5488" s="199"/>
      <c r="J5488" s="199"/>
    </row>
    <row r="5489" spans="9:10" x14ac:dyDescent="0.25">
      <c r="I5489" s="199"/>
      <c r="J5489" s="199"/>
    </row>
    <row r="5490" spans="9:10" x14ac:dyDescent="0.25">
      <c r="I5490" s="199"/>
      <c r="J5490" s="199"/>
    </row>
    <row r="5491" spans="9:10" x14ac:dyDescent="0.25">
      <c r="I5491" s="199"/>
      <c r="J5491" s="199"/>
    </row>
    <row r="5492" spans="9:10" x14ac:dyDescent="0.25">
      <c r="I5492" s="199"/>
      <c r="J5492" s="199"/>
    </row>
    <row r="5493" spans="9:10" x14ac:dyDescent="0.25">
      <c r="I5493" s="199"/>
      <c r="J5493" s="199"/>
    </row>
    <row r="5494" spans="9:10" x14ac:dyDescent="0.25">
      <c r="I5494" s="199"/>
      <c r="J5494" s="199"/>
    </row>
    <row r="5495" spans="9:10" x14ac:dyDescent="0.25">
      <c r="I5495" s="199"/>
      <c r="J5495" s="199"/>
    </row>
    <row r="5496" spans="9:10" x14ac:dyDescent="0.25">
      <c r="I5496" s="199"/>
      <c r="J5496" s="199"/>
    </row>
    <row r="5497" spans="9:10" x14ac:dyDescent="0.25">
      <c r="I5497" s="199"/>
      <c r="J5497" s="199"/>
    </row>
    <row r="5498" spans="9:10" x14ac:dyDescent="0.25">
      <c r="I5498" s="199"/>
      <c r="J5498" s="199"/>
    </row>
    <row r="5499" spans="9:10" x14ac:dyDescent="0.25">
      <c r="I5499" s="199"/>
      <c r="J5499" s="199"/>
    </row>
    <row r="5500" spans="9:10" x14ac:dyDescent="0.25">
      <c r="I5500" s="199"/>
      <c r="J5500" s="199"/>
    </row>
    <row r="5501" spans="9:10" x14ac:dyDescent="0.25">
      <c r="I5501" s="199"/>
      <c r="J5501" s="199"/>
    </row>
    <row r="5502" spans="9:10" x14ac:dyDescent="0.25">
      <c r="I5502" s="199"/>
      <c r="J5502" s="199"/>
    </row>
    <row r="5503" spans="9:10" x14ac:dyDescent="0.25">
      <c r="I5503" s="199"/>
      <c r="J5503" s="199"/>
    </row>
    <row r="5504" spans="9:10" x14ac:dyDescent="0.25">
      <c r="I5504" s="199"/>
      <c r="J5504" s="199"/>
    </row>
    <row r="5505" spans="9:10" x14ac:dyDescent="0.25">
      <c r="I5505" s="199"/>
      <c r="J5505" s="199"/>
    </row>
    <row r="5506" spans="9:10" x14ac:dyDescent="0.25">
      <c r="I5506" s="199"/>
      <c r="J5506" s="199"/>
    </row>
    <row r="5507" spans="9:10" x14ac:dyDescent="0.25">
      <c r="I5507" s="199"/>
      <c r="J5507" s="199"/>
    </row>
    <row r="5508" spans="9:10" x14ac:dyDescent="0.25">
      <c r="I5508" s="199"/>
      <c r="J5508" s="199"/>
    </row>
    <row r="5509" spans="9:10" x14ac:dyDescent="0.25">
      <c r="I5509" s="199"/>
      <c r="J5509" s="199"/>
    </row>
    <row r="5510" spans="9:10" x14ac:dyDescent="0.25">
      <c r="I5510" s="199"/>
      <c r="J5510" s="199"/>
    </row>
    <row r="5511" spans="9:10" x14ac:dyDescent="0.25">
      <c r="I5511" s="199"/>
      <c r="J5511" s="199"/>
    </row>
    <row r="5512" spans="9:10" x14ac:dyDescent="0.25">
      <c r="I5512" s="199"/>
      <c r="J5512" s="199"/>
    </row>
    <row r="5513" spans="9:10" x14ac:dyDescent="0.25">
      <c r="I5513" s="199"/>
      <c r="J5513" s="199"/>
    </row>
    <row r="5514" spans="9:10" x14ac:dyDescent="0.25">
      <c r="I5514" s="199"/>
      <c r="J5514" s="199"/>
    </row>
    <row r="5515" spans="9:10" x14ac:dyDescent="0.25">
      <c r="I5515" s="199"/>
      <c r="J5515" s="199"/>
    </row>
    <row r="5516" spans="9:10" x14ac:dyDescent="0.25">
      <c r="I5516" s="199"/>
      <c r="J5516" s="199"/>
    </row>
    <row r="5517" spans="9:10" x14ac:dyDescent="0.25">
      <c r="I5517" s="199"/>
      <c r="J5517" s="199"/>
    </row>
    <row r="5518" spans="9:10" x14ac:dyDescent="0.25">
      <c r="I5518" s="199"/>
      <c r="J5518" s="199"/>
    </row>
    <row r="5519" spans="9:10" x14ac:dyDescent="0.25">
      <c r="I5519" s="199"/>
      <c r="J5519" s="199"/>
    </row>
    <row r="5520" spans="9:10" x14ac:dyDescent="0.25">
      <c r="I5520" s="199"/>
      <c r="J5520" s="199"/>
    </row>
    <row r="5521" spans="9:10" x14ac:dyDescent="0.25">
      <c r="I5521" s="199"/>
      <c r="J5521" s="199"/>
    </row>
    <row r="5522" spans="9:10" x14ac:dyDescent="0.25">
      <c r="I5522" s="199"/>
      <c r="J5522" s="199"/>
    </row>
    <row r="5523" spans="9:10" x14ac:dyDescent="0.25">
      <c r="I5523" s="199"/>
      <c r="J5523" s="199"/>
    </row>
    <row r="5524" spans="9:10" x14ac:dyDescent="0.25">
      <c r="I5524" s="199"/>
      <c r="J5524" s="199"/>
    </row>
    <row r="5525" spans="9:10" x14ac:dyDescent="0.25">
      <c r="I5525" s="199"/>
      <c r="J5525" s="199"/>
    </row>
    <row r="5526" spans="9:10" x14ac:dyDescent="0.25">
      <c r="I5526" s="199"/>
      <c r="J5526" s="199"/>
    </row>
    <row r="5527" spans="9:10" x14ac:dyDescent="0.25">
      <c r="I5527" s="199"/>
      <c r="J5527" s="199"/>
    </row>
    <row r="5528" spans="9:10" x14ac:dyDescent="0.25">
      <c r="I5528" s="199"/>
      <c r="J5528" s="199"/>
    </row>
    <row r="5529" spans="9:10" x14ac:dyDescent="0.25">
      <c r="I5529" s="199"/>
      <c r="J5529" s="199"/>
    </row>
    <row r="5530" spans="9:10" x14ac:dyDescent="0.25">
      <c r="I5530" s="199"/>
      <c r="J5530" s="199"/>
    </row>
    <row r="5531" spans="9:10" x14ac:dyDescent="0.25">
      <c r="I5531" s="199"/>
      <c r="J5531" s="199"/>
    </row>
    <row r="5532" spans="9:10" x14ac:dyDescent="0.25">
      <c r="I5532" s="199"/>
      <c r="J5532" s="199"/>
    </row>
    <row r="5533" spans="9:10" x14ac:dyDescent="0.25">
      <c r="I5533" s="199"/>
      <c r="J5533" s="199"/>
    </row>
    <row r="5534" spans="9:10" x14ac:dyDescent="0.25">
      <c r="I5534" s="199"/>
      <c r="J5534" s="199"/>
    </row>
    <row r="5535" spans="9:10" x14ac:dyDescent="0.25">
      <c r="I5535" s="199"/>
      <c r="J5535" s="199"/>
    </row>
    <row r="5536" spans="9:10" x14ac:dyDescent="0.25">
      <c r="I5536" s="199"/>
      <c r="J5536" s="199"/>
    </row>
    <row r="5537" spans="9:10" x14ac:dyDescent="0.25">
      <c r="I5537" s="199"/>
      <c r="J5537" s="199"/>
    </row>
    <row r="5538" spans="9:10" x14ac:dyDescent="0.25">
      <c r="I5538" s="199"/>
      <c r="J5538" s="199"/>
    </row>
    <row r="5539" spans="9:10" x14ac:dyDescent="0.25">
      <c r="I5539" s="199"/>
      <c r="J5539" s="199"/>
    </row>
    <row r="5540" spans="9:10" x14ac:dyDescent="0.25">
      <c r="I5540" s="199"/>
      <c r="J5540" s="199"/>
    </row>
    <row r="5541" spans="9:10" x14ac:dyDescent="0.25">
      <c r="I5541" s="199"/>
      <c r="J5541" s="199"/>
    </row>
    <row r="5542" spans="9:10" x14ac:dyDescent="0.25">
      <c r="I5542" s="199"/>
      <c r="J5542" s="199"/>
    </row>
    <row r="5543" spans="9:10" x14ac:dyDescent="0.25">
      <c r="I5543" s="199"/>
      <c r="J5543" s="199"/>
    </row>
    <row r="5544" spans="9:10" x14ac:dyDescent="0.25">
      <c r="I5544" s="199"/>
      <c r="J5544" s="199"/>
    </row>
    <row r="5545" spans="9:10" x14ac:dyDescent="0.25">
      <c r="I5545" s="199"/>
      <c r="J5545" s="199"/>
    </row>
    <row r="5546" spans="9:10" x14ac:dyDescent="0.25">
      <c r="I5546" s="199"/>
      <c r="J5546" s="199"/>
    </row>
    <row r="5547" spans="9:10" x14ac:dyDescent="0.25">
      <c r="I5547" s="199"/>
      <c r="J5547" s="199"/>
    </row>
    <row r="5548" spans="9:10" x14ac:dyDescent="0.25">
      <c r="I5548" s="199"/>
      <c r="J5548" s="199"/>
    </row>
    <row r="5549" spans="9:10" x14ac:dyDescent="0.25">
      <c r="I5549" s="199"/>
      <c r="J5549" s="199"/>
    </row>
    <row r="5550" spans="9:10" x14ac:dyDescent="0.25">
      <c r="I5550" s="199"/>
      <c r="J5550" s="199"/>
    </row>
    <row r="5551" spans="9:10" x14ac:dyDescent="0.25">
      <c r="I5551" s="199"/>
      <c r="J5551" s="199"/>
    </row>
    <row r="5552" spans="9:10" x14ac:dyDescent="0.25">
      <c r="I5552" s="199"/>
      <c r="J5552" s="199"/>
    </row>
    <row r="5553" spans="9:10" x14ac:dyDescent="0.25">
      <c r="I5553" s="199"/>
      <c r="J5553" s="199"/>
    </row>
    <row r="5554" spans="9:10" x14ac:dyDescent="0.25">
      <c r="I5554" s="199"/>
      <c r="J5554" s="199"/>
    </row>
    <row r="5555" spans="9:10" x14ac:dyDescent="0.25">
      <c r="I5555" s="199"/>
      <c r="J5555" s="199"/>
    </row>
    <row r="5556" spans="9:10" x14ac:dyDescent="0.25">
      <c r="I5556" s="199"/>
      <c r="J5556" s="199"/>
    </row>
    <row r="5557" spans="9:10" x14ac:dyDescent="0.25">
      <c r="I5557" s="199"/>
      <c r="J5557" s="199"/>
    </row>
    <row r="5558" spans="9:10" x14ac:dyDescent="0.25">
      <c r="I5558" s="199"/>
      <c r="J5558" s="199"/>
    </row>
    <row r="5559" spans="9:10" x14ac:dyDescent="0.25">
      <c r="I5559" s="199"/>
      <c r="J5559" s="199"/>
    </row>
    <row r="5560" spans="9:10" x14ac:dyDescent="0.25">
      <c r="I5560" s="199"/>
      <c r="J5560" s="199"/>
    </row>
    <row r="5561" spans="9:10" x14ac:dyDescent="0.25">
      <c r="I5561" s="199"/>
      <c r="J5561" s="199"/>
    </row>
    <row r="5562" spans="9:10" x14ac:dyDescent="0.25">
      <c r="I5562" s="199"/>
      <c r="J5562" s="199"/>
    </row>
    <row r="5563" spans="9:10" x14ac:dyDescent="0.25">
      <c r="I5563" s="199"/>
      <c r="J5563" s="199"/>
    </row>
    <row r="5564" spans="9:10" x14ac:dyDescent="0.25">
      <c r="I5564" s="199"/>
      <c r="J5564" s="199"/>
    </row>
    <row r="5565" spans="9:10" x14ac:dyDescent="0.25">
      <c r="I5565" s="199"/>
      <c r="J5565" s="199"/>
    </row>
    <row r="5566" spans="9:10" x14ac:dyDescent="0.25">
      <c r="I5566" s="199"/>
      <c r="J5566" s="199"/>
    </row>
    <row r="5567" spans="9:10" x14ac:dyDescent="0.25">
      <c r="I5567" s="199"/>
      <c r="J5567" s="199"/>
    </row>
    <row r="5568" spans="9:10" x14ac:dyDescent="0.25">
      <c r="I5568" s="199"/>
      <c r="J5568" s="199"/>
    </row>
    <row r="5569" spans="9:10" x14ac:dyDescent="0.25">
      <c r="I5569" s="199"/>
      <c r="J5569" s="199"/>
    </row>
    <row r="5570" spans="9:10" x14ac:dyDescent="0.25">
      <c r="I5570" s="199"/>
      <c r="J5570" s="199"/>
    </row>
    <row r="5571" spans="9:10" x14ac:dyDescent="0.25">
      <c r="I5571" s="199"/>
      <c r="J5571" s="199"/>
    </row>
    <row r="5572" spans="9:10" x14ac:dyDescent="0.25">
      <c r="I5572" s="199"/>
      <c r="J5572" s="199"/>
    </row>
    <row r="5573" spans="9:10" x14ac:dyDescent="0.25">
      <c r="I5573" s="199"/>
      <c r="J5573" s="199"/>
    </row>
    <row r="5574" spans="9:10" x14ac:dyDescent="0.25">
      <c r="I5574" s="199"/>
      <c r="J5574" s="199"/>
    </row>
    <row r="5575" spans="9:10" x14ac:dyDescent="0.25">
      <c r="I5575" s="199"/>
      <c r="J5575" s="199"/>
    </row>
    <row r="5576" spans="9:10" x14ac:dyDescent="0.25">
      <c r="I5576" s="199"/>
      <c r="J5576" s="199"/>
    </row>
    <row r="5577" spans="9:10" x14ac:dyDescent="0.25">
      <c r="I5577" s="199"/>
      <c r="J5577" s="199"/>
    </row>
    <row r="5578" spans="9:10" x14ac:dyDescent="0.25">
      <c r="I5578" s="199"/>
      <c r="J5578" s="199"/>
    </row>
    <row r="5579" spans="9:10" x14ac:dyDescent="0.25">
      <c r="I5579" s="199"/>
      <c r="J5579" s="199"/>
    </row>
    <row r="5580" spans="9:10" x14ac:dyDescent="0.25">
      <c r="I5580" s="199"/>
      <c r="J5580" s="199"/>
    </row>
    <row r="5581" spans="9:10" x14ac:dyDescent="0.25">
      <c r="I5581" s="199"/>
      <c r="J5581" s="199"/>
    </row>
    <row r="5582" spans="9:10" x14ac:dyDescent="0.25">
      <c r="I5582" s="199"/>
      <c r="J5582" s="199"/>
    </row>
    <row r="5583" spans="9:10" x14ac:dyDescent="0.25">
      <c r="I5583" s="199"/>
      <c r="J5583" s="199"/>
    </row>
    <row r="5584" spans="9:10" x14ac:dyDescent="0.25">
      <c r="I5584" s="199"/>
      <c r="J5584" s="199"/>
    </row>
    <row r="5585" spans="9:10" x14ac:dyDescent="0.25">
      <c r="I5585" s="199"/>
      <c r="J5585" s="199"/>
    </row>
    <row r="5586" spans="9:10" x14ac:dyDescent="0.25">
      <c r="I5586" s="199"/>
      <c r="J5586" s="199"/>
    </row>
    <row r="5587" spans="9:10" x14ac:dyDescent="0.25">
      <c r="I5587" s="199"/>
      <c r="J5587" s="199"/>
    </row>
    <row r="5588" spans="9:10" x14ac:dyDescent="0.25">
      <c r="I5588" s="199"/>
      <c r="J5588" s="199"/>
    </row>
    <row r="5589" spans="9:10" x14ac:dyDescent="0.25">
      <c r="I5589" s="199"/>
      <c r="J5589" s="199"/>
    </row>
    <row r="5590" spans="9:10" x14ac:dyDescent="0.25">
      <c r="I5590" s="199"/>
      <c r="J5590" s="199"/>
    </row>
    <row r="5591" spans="9:10" x14ac:dyDescent="0.25">
      <c r="I5591" s="199"/>
      <c r="J5591" s="199"/>
    </row>
    <row r="5592" spans="9:10" x14ac:dyDescent="0.25">
      <c r="I5592" s="199"/>
      <c r="J5592" s="199"/>
    </row>
    <row r="5593" spans="9:10" x14ac:dyDescent="0.25">
      <c r="I5593" s="199"/>
      <c r="J5593" s="199"/>
    </row>
    <row r="5594" spans="9:10" x14ac:dyDescent="0.25">
      <c r="I5594" s="199"/>
      <c r="J5594" s="199"/>
    </row>
    <row r="5595" spans="9:10" x14ac:dyDescent="0.25">
      <c r="I5595" s="199"/>
      <c r="J5595" s="199"/>
    </row>
    <row r="5596" spans="9:10" x14ac:dyDescent="0.25">
      <c r="I5596" s="199"/>
      <c r="J5596" s="199"/>
    </row>
    <row r="5597" spans="9:10" x14ac:dyDescent="0.25">
      <c r="I5597" s="199"/>
      <c r="J5597" s="199"/>
    </row>
    <row r="5598" spans="9:10" x14ac:dyDescent="0.25">
      <c r="I5598" s="199"/>
      <c r="J5598" s="199"/>
    </row>
    <row r="5599" spans="9:10" x14ac:dyDescent="0.25">
      <c r="I5599" s="199"/>
      <c r="J5599" s="199"/>
    </row>
    <row r="5600" spans="9:10" x14ac:dyDescent="0.25">
      <c r="I5600" s="199"/>
      <c r="J5600" s="199"/>
    </row>
    <row r="5601" spans="9:10" x14ac:dyDescent="0.25">
      <c r="I5601" s="199"/>
      <c r="J5601" s="199"/>
    </row>
    <row r="5602" spans="9:10" x14ac:dyDescent="0.25">
      <c r="I5602" s="199"/>
      <c r="J5602" s="199"/>
    </row>
    <row r="5603" spans="9:10" x14ac:dyDescent="0.25">
      <c r="I5603" s="199"/>
      <c r="J5603" s="199"/>
    </row>
    <row r="5604" spans="9:10" x14ac:dyDescent="0.25">
      <c r="I5604" s="199"/>
      <c r="J5604" s="199"/>
    </row>
    <row r="5605" spans="9:10" x14ac:dyDescent="0.25">
      <c r="I5605" s="199"/>
      <c r="J5605" s="199"/>
    </row>
    <row r="5606" spans="9:10" x14ac:dyDescent="0.25">
      <c r="I5606" s="199"/>
      <c r="J5606" s="199"/>
    </row>
    <row r="5607" spans="9:10" x14ac:dyDescent="0.25">
      <c r="I5607" s="199"/>
      <c r="J5607" s="199"/>
    </row>
    <row r="5608" spans="9:10" x14ac:dyDescent="0.25">
      <c r="I5608" s="199"/>
      <c r="J5608" s="199"/>
    </row>
    <row r="5609" spans="9:10" x14ac:dyDescent="0.25">
      <c r="I5609" s="199"/>
      <c r="J5609" s="199"/>
    </row>
    <row r="5610" spans="9:10" x14ac:dyDescent="0.25">
      <c r="I5610" s="199"/>
      <c r="J5610" s="199"/>
    </row>
    <row r="5611" spans="9:10" x14ac:dyDescent="0.25">
      <c r="I5611" s="199"/>
      <c r="J5611" s="199"/>
    </row>
    <row r="5612" spans="9:10" x14ac:dyDescent="0.25">
      <c r="I5612" s="199"/>
      <c r="J5612" s="199"/>
    </row>
    <row r="5613" spans="9:10" x14ac:dyDescent="0.25">
      <c r="I5613" s="199"/>
      <c r="J5613" s="199"/>
    </row>
    <row r="5614" spans="9:10" x14ac:dyDescent="0.25">
      <c r="I5614" s="199"/>
      <c r="J5614" s="199"/>
    </row>
    <row r="5615" spans="9:10" x14ac:dyDescent="0.25">
      <c r="I5615" s="199"/>
      <c r="J5615" s="199"/>
    </row>
    <row r="5616" spans="9:10" x14ac:dyDescent="0.25">
      <c r="I5616" s="199"/>
      <c r="J5616" s="199"/>
    </row>
    <row r="5617" spans="9:10" x14ac:dyDescent="0.25">
      <c r="I5617" s="199"/>
      <c r="J5617" s="199"/>
    </row>
    <row r="5618" spans="9:10" x14ac:dyDescent="0.25">
      <c r="I5618" s="199"/>
      <c r="J5618" s="199"/>
    </row>
    <row r="5619" spans="9:10" x14ac:dyDescent="0.25">
      <c r="I5619" s="199"/>
      <c r="J5619" s="199"/>
    </row>
    <row r="5620" spans="9:10" x14ac:dyDescent="0.25">
      <c r="I5620" s="199"/>
      <c r="J5620" s="199"/>
    </row>
    <row r="5621" spans="9:10" x14ac:dyDescent="0.25">
      <c r="I5621" s="199"/>
      <c r="J5621" s="199"/>
    </row>
    <row r="5622" spans="9:10" x14ac:dyDescent="0.25">
      <c r="I5622" s="199"/>
      <c r="J5622" s="199"/>
    </row>
    <row r="5623" spans="9:10" x14ac:dyDescent="0.25">
      <c r="I5623" s="199"/>
      <c r="J5623" s="199"/>
    </row>
    <row r="5624" spans="9:10" x14ac:dyDescent="0.25">
      <c r="I5624" s="199"/>
      <c r="J5624" s="199"/>
    </row>
    <row r="5625" spans="9:10" x14ac:dyDescent="0.25">
      <c r="I5625" s="199"/>
      <c r="J5625" s="199"/>
    </row>
    <row r="5626" spans="9:10" x14ac:dyDescent="0.25">
      <c r="I5626" s="199"/>
      <c r="J5626" s="199"/>
    </row>
    <row r="5627" spans="9:10" x14ac:dyDescent="0.25">
      <c r="I5627" s="199"/>
      <c r="J5627" s="199"/>
    </row>
    <row r="5628" spans="9:10" x14ac:dyDescent="0.25">
      <c r="I5628" s="199"/>
      <c r="J5628" s="199"/>
    </row>
    <row r="5629" spans="9:10" x14ac:dyDescent="0.25">
      <c r="I5629" s="199"/>
      <c r="J5629" s="199"/>
    </row>
    <row r="5630" spans="9:10" x14ac:dyDescent="0.25">
      <c r="I5630" s="199"/>
      <c r="J5630" s="199"/>
    </row>
    <row r="5631" spans="9:10" x14ac:dyDescent="0.25">
      <c r="I5631" s="199"/>
      <c r="J5631" s="199"/>
    </row>
    <row r="5632" spans="9:10" x14ac:dyDescent="0.25">
      <c r="I5632" s="199"/>
      <c r="J5632" s="199"/>
    </row>
    <row r="5633" spans="9:10" x14ac:dyDescent="0.25">
      <c r="I5633" s="199"/>
      <c r="J5633" s="199"/>
    </row>
    <row r="5634" spans="9:10" x14ac:dyDescent="0.25">
      <c r="I5634" s="199"/>
      <c r="J5634" s="199"/>
    </row>
    <row r="5635" spans="9:10" x14ac:dyDescent="0.25">
      <c r="I5635" s="199"/>
      <c r="J5635" s="199"/>
    </row>
    <row r="5636" spans="9:10" x14ac:dyDescent="0.25">
      <c r="I5636" s="199"/>
      <c r="J5636" s="199"/>
    </row>
    <row r="5637" spans="9:10" x14ac:dyDescent="0.25">
      <c r="I5637" s="199"/>
      <c r="J5637" s="199"/>
    </row>
    <row r="5638" spans="9:10" x14ac:dyDescent="0.25">
      <c r="I5638" s="199"/>
      <c r="J5638" s="199"/>
    </row>
    <row r="5639" spans="9:10" x14ac:dyDescent="0.25">
      <c r="I5639" s="199"/>
      <c r="J5639" s="199"/>
    </row>
    <row r="5640" spans="9:10" x14ac:dyDescent="0.25">
      <c r="I5640" s="199"/>
      <c r="J5640" s="199"/>
    </row>
    <row r="5641" spans="9:10" x14ac:dyDescent="0.25">
      <c r="I5641" s="199"/>
      <c r="J5641" s="199"/>
    </row>
    <row r="5642" spans="9:10" x14ac:dyDescent="0.25">
      <c r="I5642" s="199"/>
      <c r="J5642" s="199"/>
    </row>
    <row r="5643" spans="9:10" x14ac:dyDescent="0.25">
      <c r="I5643" s="199"/>
      <c r="J5643" s="199"/>
    </row>
    <row r="5644" spans="9:10" x14ac:dyDescent="0.25">
      <c r="I5644" s="199"/>
      <c r="J5644" s="199"/>
    </row>
    <row r="5645" spans="9:10" x14ac:dyDescent="0.25">
      <c r="I5645" s="199"/>
      <c r="J5645" s="199"/>
    </row>
    <row r="5646" spans="9:10" x14ac:dyDescent="0.25">
      <c r="I5646" s="199"/>
      <c r="J5646" s="199"/>
    </row>
    <row r="5647" spans="9:10" x14ac:dyDescent="0.25">
      <c r="I5647" s="199"/>
      <c r="J5647" s="199"/>
    </row>
    <row r="5648" spans="9:10" x14ac:dyDescent="0.25">
      <c r="I5648" s="199"/>
      <c r="J5648" s="199"/>
    </row>
    <row r="5649" spans="9:10" x14ac:dyDescent="0.25">
      <c r="I5649" s="199"/>
      <c r="J5649" s="199"/>
    </row>
    <row r="5650" spans="9:10" x14ac:dyDescent="0.25">
      <c r="I5650" s="199"/>
      <c r="J5650" s="199"/>
    </row>
    <row r="5651" spans="9:10" x14ac:dyDescent="0.25">
      <c r="I5651" s="199"/>
      <c r="J5651" s="199"/>
    </row>
    <row r="5652" spans="9:10" x14ac:dyDescent="0.25">
      <c r="I5652" s="199"/>
      <c r="J5652" s="199"/>
    </row>
    <row r="5653" spans="9:10" x14ac:dyDescent="0.25">
      <c r="I5653" s="199"/>
      <c r="J5653" s="199"/>
    </row>
    <row r="5654" spans="9:10" x14ac:dyDescent="0.25">
      <c r="I5654" s="199"/>
      <c r="J5654" s="199"/>
    </row>
    <row r="5655" spans="9:10" x14ac:dyDescent="0.25">
      <c r="I5655" s="199"/>
      <c r="J5655" s="199"/>
    </row>
    <row r="5656" spans="9:10" x14ac:dyDescent="0.25">
      <c r="I5656" s="199"/>
      <c r="J5656" s="199"/>
    </row>
    <row r="5657" spans="9:10" x14ac:dyDescent="0.25">
      <c r="I5657" s="199"/>
      <c r="J5657" s="199"/>
    </row>
    <row r="5658" spans="9:10" x14ac:dyDescent="0.25">
      <c r="I5658" s="199"/>
      <c r="J5658" s="199"/>
    </row>
    <row r="5659" spans="9:10" x14ac:dyDescent="0.25">
      <c r="I5659" s="199"/>
      <c r="J5659" s="199"/>
    </row>
    <row r="5660" spans="9:10" x14ac:dyDescent="0.25">
      <c r="I5660" s="199"/>
      <c r="J5660" s="199"/>
    </row>
    <row r="5661" spans="9:10" x14ac:dyDescent="0.25">
      <c r="I5661" s="199"/>
      <c r="J5661" s="199"/>
    </row>
    <row r="5662" spans="9:10" x14ac:dyDescent="0.25">
      <c r="I5662" s="199"/>
      <c r="J5662" s="199"/>
    </row>
    <row r="5663" spans="9:10" x14ac:dyDescent="0.25">
      <c r="I5663" s="199"/>
      <c r="J5663" s="199"/>
    </row>
    <row r="5664" spans="9:10" x14ac:dyDescent="0.25">
      <c r="I5664" s="199"/>
      <c r="J5664" s="199"/>
    </row>
    <row r="5665" spans="9:10" x14ac:dyDescent="0.25">
      <c r="I5665" s="199"/>
      <c r="J5665" s="199"/>
    </row>
    <row r="5666" spans="9:10" x14ac:dyDescent="0.25">
      <c r="I5666" s="199"/>
      <c r="J5666" s="199"/>
    </row>
    <row r="5667" spans="9:10" x14ac:dyDescent="0.25">
      <c r="I5667" s="199"/>
      <c r="J5667" s="199"/>
    </row>
    <row r="5668" spans="9:10" x14ac:dyDescent="0.25">
      <c r="I5668" s="199"/>
      <c r="J5668" s="199"/>
    </row>
    <row r="5669" spans="9:10" x14ac:dyDescent="0.25">
      <c r="I5669" s="199"/>
      <c r="J5669" s="199"/>
    </row>
    <row r="5670" spans="9:10" x14ac:dyDescent="0.25">
      <c r="I5670" s="199"/>
      <c r="J5670" s="199"/>
    </row>
    <row r="5671" spans="9:10" x14ac:dyDescent="0.25">
      <c r="I5671" s="199"/>
      <c r="J5671" s="199"/>
    </row>
    <row r="5672" spans="9:10" x14ac:dyDescent="0.25">
      <c r="I5672" s="199"/>
      <c r="J5672" s="199"/>
    </row>
    <row r="5673" spans="9:10" x14ac:dyDescent="0.25">
      <c r="I5673" s="199"/>
      <c r="J5673" s="199"/>
    </row>
    <row r="5674" spans="9:10" x14ac:dyDescent="0.25">
      <c r="I5674" s="199"/>
      <c r="J5674" s="199"/>
    </row>
    <row r="5675" spans="9:10" x14ac:dyDescent="0.25">
      <c r="I5675" s="199"/>
      <c r="J5675" s="199"/>
    </row>
    <row r="5676" spans="9:10" x14ac:dyDescent="0.25">
      <c r="I5676" s="199"/>
      <c r="J5676" s="199"/>
    </row>
    <row r="5677" spans="9:10" x14ac:dyDescent="0.25">
      <c r="I5677" s="199"/>
      <c r="J5677" s="199"/>
    </row>
    <row r="5678" spans="9:10" x14ac:dyDescent="0.25">
      <c r="I5678" s="199"/>
      <c r="J5678" s="199"/>
    </row>
    <row r="5679" spans="9:10" x14ac:dyDescent="0.25">
      <c r="I5679" s="199"/>
      <c r="J5679" s="199"/>
    </row>
    <row r="5680" spans="9:10" x14ac:dyDescent="0.25">
      <c r="I5680" s="199"/>
      <c r="J5680" s="199"/>
    </row>
    <row r="5681" spans="9:10" x14ac:dyDescent="0.25">
      <c r="I5681" s="199"/>
      <c r="J5681" s="199"/>
    </row>
    <row r="5682" spans="9:10" x14ac:dyDescent="0.25">
      <c r="I5682" s="199"/>
      <c r="J5682" s="199"/>
    </row>
    <row r="5683" spans="9:10" x14ac:dyDescent="0.25">
      <c r="I5683" s="199"/>
      <c r="J5683" s="199"/>
    </row>
    <row r="5684" spans="9:10" x14ac:dyDescent="0.25">
      <c r="I5684" s="199"/>
      <c r="J5684" s="199"/>
    </row>
    <row r="5685" spans="9:10" x14ac:dyDescent="0.25">
      <c r="I5685" s="199"/>
      <c r="J5685" s="199"/>
    </row>
    <row r="5686" spans="9:10" x14ac:dyDescent="0.25">
      <c r="I5686" s="199"/>
      <c r="J5686" s="199"/>
    </row>
    <row r="5687" spans="9:10" x14ac:dyDescent="0.25">
      <c r="I5687" s="199"/>
      <c r="J5687" s="199"/>
    </row>
    <row r="5688" spans="9:10" x14ac:dyDescent="0.25">
      <c r="I5688" s="199"/>
      <c r="J5688" s="199"/>
    </row>
    <row r="5689" spans="9:10" x14ac:dyDescent="0.25">
      <c r="I5689" s="199"/>
      <c r="J5689" s="199"/>
    </row>
    <row r="5690" spans="9:10" x14ac:dyDescent="0.25">
      <c r="I5690" s="199"/>
      <c r="J5690" s="199"/>
    </row>
    <row r="5691" spans="9:10" x14ac:dyDescent="0.25">
      <c r="I5691" s="199"/>
      <c r="J5691" s="199"/>
    </row>
    <row r="5692" spans="9:10" x14ac:dyDescent="0.25">
      <c r="I5692" s="199"/>
      <c r="J5692" s="199"/>
    </row>
    <row r="5693" spans="9:10" x14ac:dyDescent="0.25">
      <c r="I5693" s="199"/>
      <c r="J5693" s="199"/>
    </row>
    <row r="5694" spans="9:10" x14ac:dyDescent="0.25">
      <c r="I5694" s="199"/>
      <c r="J5694" s="199"/>
    </row>
    <row r="5695" spans="9:10" x14ac:dyDescent="0.25">
      <c r="I5695" s="199"/>
      <c r="J5695" s="199"/>
    </row>
    <row r="5696" spans="9:10" x14ac:dyDescent="0.25">
      <c r="I5696" s="199"/>
      <c r="J5696" s="199"/>
    </row>
    <row r="5697" spans="9:10" x14ac:dyDescent="0.25">
      <c r="I5697" s="199"/>
      <c r="J5697" s="199"/>
    </row>
    <row r="5698" spans="9:10" x14ac:dyDescent="0.25">
      <c r="I5698" s="199"/>
      <c r="J5698" s="199"/>
    </row>
    <row r="5699" spans="9:10" x14ac:dyDescent="0.25">
      <c r="I5699" s="199"/>
      <c r="J5699" s="199"/>
    </row>
    <row r="5700" spans="9:10" x14ac:dyDescent="0.25">
      <c r="I5700" s="199"/>
      <c r="J5700" s="199"/>
    </row>
    <row r="5701" spans="9:10" x14ac:dyDescent="0.25">
      <c r="I5701" s="199"/>
      <c r="J5701" s="199"/>
    </row>
    <row r="5702" spans="9:10" x14ac:dyDescent="0.25">
      <c r="I5702" s="199"/>
      <c r="J5702" s="199"/>
    </row>
    <row r="5703" spans="9:10" x14ac:dyDescent="0.25">
      <c r="I5703" s="199"/>
      <c r="J5703" s="199"/>
    </row>
    <row r="5704" spans="9:10" x14ac:dyDescent="0.25">
      <c r="I5704" s="199"/>
      <c r="J5704" s="199"/>
    </row>
    <row r="5705" spans="9:10" x14ac:dyDescent="0.25">
      <c r="I5705" s="199"/>
      <c r="J5705" s="199"/>
    </row>
    <row r="5706" spans="9:10" x14ac:dyDescent="0.25">
      <c r="I5706" s="199"/>
      <c r="J5706" s="199"/>
    </row>
    <row r="5707" spans="9:10" x14ac:dyDescent="0.25">
      <c r="I5707" s="199"/>
      <c r="J5707" s="199"/>
    </row>
    <row r="5708" spans="9:10" x14ac:dyDescent="0.25">
      <c r="I5708" s="199"/>
      <c r="J5708" s="199"/>
    </row>
    <row r="5709" spans="9:10" x14ac:dyDescent="0.25">
      <c r="I5709" s="199"/>
      <c r="J5709" s="199"/>
    </row>
    <row r="5710" spans="9:10" x14ac:dyDescent="0.25">
      <c r="I5710" s="199"/>
      <c r="J5710" s="199"/>
    </row>
    <row r="5711" spans="9:10" x14ac:dyDescent="0.25">
      <c r="I5711" s="199"/>
      <c r="J5711" s="199"/>
    </row>
    <row r="5712" spans="9:10" x14ac:dyDescent="0.25">
      <c r="I5712" s="199"/>
      <c r="J5712" s="199"/>
    </row>
    <row r="5713" spans="9:10" x14ac:dyDescent="0.25">
      <c r="I5713" s="199"/>
      <c r="J5713" s="199"/>
    </row>
    <row r="5714" spans="9:10" x14ac:dyDescent="0.25">
      <c r="I5714" s="199"/>
      <c r="J5714" s="199"/>
    </row>
    <row r="5715" spans="9:10" x14ac:dyDescent="0.25">
      <c r="I5715" s="199"/>
      <c r="J5715" s="199"/>
    </row>
    <row r="5716" spans="9:10" x14ac:dyDescent="0.25">
      <c r="I5716" s="199"/>
      <c r="J5716" s="199"/>
    </row>
    <row r="5717" spans="9:10" x14ac:dyDescent="0.25">
      <c r="I5717" s="199"/>
      <c r="J5717" s="199"/>
    </row>
    <row r="5718" spans="9:10" x14ac:dyDescent="0.25">
      <c r="I5718" s="199"/>
      <c r="J5718" s="199"/>
    </row>
    <row r="5719" spans="9:10" x14ac:dyDescent="0.25">
      <c r="I5719" s="199"/>
      <c r="J5719" s="199"/>
    </row>
    <row r="5720" spans="9:10" x14ac:dyDescent="0.25">
      <c r="I5720" s="199"/>
      <c r="J5720" s="199"/>
    </row>
    <row r="5721" spans="9:10" x14ac:dyDescent="0.25">
      <c r="I5721" s="199"/>
      <c r="J5721" s="199"/>
    </row>
    <row r="5722" spans="9:10" x14ac:dyDescent="0.25">
      <c r="I5722" s="199"/>
      <c r="J5722" s="199"/>
    </row>
    <row r="5723" spans="9:10" x14ac:dyDescent="0.25">
      <c r="I5723" s="199"/>
      <c r="J5723" s="199"/>
    </row>
    <row r="5724" spans="9:10" x14ac:dyDescent="0.25">
      <c r="I5724" s="199"/>
      <c r="J5724" s="199"/>
    </row>
    <row r="5725" spans="9:10" x14ac:dyDescent="0.25">
      <c r="I5725" s="199"/>
      <c r="J5725" s="199"/>
    </row>
    <row r="5726" spans="9:10" x14ac:dyDescent="0.25">
      <c r="I5726" s="199"/>
      <c r="J5726" s="199"/>
    </row>
    <row r="5727" spans="9:10" x14ac:dyDescent="0.25">
      <c r="I5727" s="199"/>
      <c r="J5727" s="199"/>
    </row>
    <row r="5728" spans="9:10" x14ac:dyDescent="0.25">
      <c r="I5728" s="199"/>
      <c r="J5728" s="199"/>
    </row>
    <row r="5729" spans="9:10" x14ac:dyDescent="0.25">
      <c r="I5729" s="199"/>
      <c r="J5729" s="199"/>
    </row>
    <row r="5730" spans="9:10" x14ac:dyDescent="0.25">
      <c r="I5730" s="199"/>
      <c r="J5730" s="199"/>
    </row>
    <row r="5731" spans="9:10" x14ac:dyDescent="0.25">
      <c r="I5731" s="199"/>
      <c r="J5731" s="199"/>
    </row>
    <row r="5732" spans="9:10" x14ac:dyDescent="0.25">
      <c r="I5732" s="199"/>
      <c r="J5732" s="199"/>
    </row>
    <row r="5733" spans="9:10" x14ac:dyDescent="0.25">
      <c r="I5733" s="199"/>
      <c r="J5733" s="199"/>
    </row>
    <row r="5734" spans="9:10" x14ac:dyDescent="0.25">
      <c r="I5734" s="199"/>
      <c r="J5734" s="199"/>
    </row>
    <row r="5735" spans="9:10" x14ac:dyDescent="0.25">
      <c r="I5735" s="199"/>
      <c r="J5735" s="199"/>
    </row>
    <row r="5736" spans="9:10" x14ac:dyDescent="0.25">
      <c r="I5736" s="199"/>
      <c r="J5736" s="199"/>
    </row>
    <row r="5737" spans="9:10" x14ac:dyDescent="0.25">
      <c r="I5737" s="199"/>
      <c r="J5737" s="199"/>
    </row>
    <row r="5738" spans="9:10" x14ac:dyDescent="0.25">
      <c r="I5738" s="199"/>
      <c r="J5738" s="199"/>
    </row>
    <row r="5739" spans="9:10" x14ac:dyDescent="0.25">
      <c r="I5739" s="199"/>
      <c r="J5739" s="199"/>
    </row>
    <row r="5740" spans="9:10" x14ac:dyDescent="0.25">
      <c r="I5740" s="199"/>
      <c r="J5740" s="199"/>
    </row>
    <row r="5741" spans="9:10" x14ac:dyDescent="0.25">
      <c r="I5741" s="199"/>
      <c r="J5741" s="199"/>
    </row>
    <row r="5742" spans="9:10" x14ac:dyDescent="0.25">
      <c r="I5742" s="199"/>
      <c r="J5742" s="199"/>
    </row>
    <row r="5743" spans="9:10" x14ac:dyDescent="0.25">
      <c r="I5743" s="199"/>
      <c r="J5743" s="199"/>
    </row>
    <row r="5744" spans="9:10" x14ac:dyDescent="0.25">
      <c r="I5744" s="199"/>
      <c r="J5744" s="199"/>
    </row>
    <row r="5745" spans="9:10" x14ac:dyDescent="0.25">
      <c r="I5745" s="199"/>
      <c r="J5745" s="199"/>
    </row>
    <row r="5746" spans="9:10" x14ac:dyDescent="0.25">
      <c r="I5746" s="199"/>
      <c r="J5746" s="199"/>
    </row>
    <row r="5747" spans="9:10" x14ac:dyDescent="0.25">
      <c r="I5747" s="199"/>
      <c r="J5747" s="199"/>
    </row>
    <row r="5748" spans="9:10" x14ac:dyDescent="0.25">
      <c r="I5748" s="199"/>
      <c r="J5748" s="199"/>
    </row>
    <row r="5749" spans="9:10" x14ac:dyDescent="0.25">
      <c r="I5749" s="199"/>
      <c r="J5749" s="199"/>
    </row>
    <row r="5750" spans="9:10" x14ac:dyDescent="0.25">
      <c r="I5750" s="199"/>
      <c r="J5750" s="199"/>
    </row>
    <row r="5751" spans="9:10" x14ac:dyDescent="0.25">
      <c r="I5751" s="199"/>
      <c r="J5751" s="199"/>
    </row>
    <row r="5752" spans="9:10" x14ac:dyDescent="0.25">
      <c r="I5752" s="199"/>
      <c r="J5752" s="199"/>
    </row>
    <row r="5753" spans="9:10" x14ac:dyDescent="0.25">
      <c r="I5753" s="199"/>
      <c r="J5753" s="199"/>
    </row>
    <row r="5754" spans="9:10" x14ac:dyDescent="0.25">
      <c r="I5754" s="199"/>
      <c r="J5754" s="199"/>
    </row>
    <row r="5755" spans="9:10" x14ac:dyDescent="0.25">
      <c r="I5755" s="199"/>
      <c r="J5755" s="199"/>
    </row>
    <row r="5756" spans="9:10" x14ac:dyDescent="0.25">
      <c r="I5756" s="199"/>
      <c r="J5756" s="199"/>
    </row>
    <row r="5757" spans="9:10" x14ac:dyDescent="0.25">
      <c r="I5757" s="199"/>
      <c r="J5757" s="199"/>
    </row>
    <row r="5758" spans="9:10" x14ac:dyDescent="0.25">
      <c r="I5758" s="199"/>
      <c r="J5758" s="199"/>
    </row>
    <row r="5759" spans="9:10" x14ac:dyDescent="0.25">
      <c r="I5759" s="199"/>
      <c r="J5759" s="199"/>
    </row>
    <row r="5760" spans="9:10" x14ac:dyDescent="0.25">
      <c r="I5760" s="199"/>
      <c r="J5760" s="199"/>
    </row>
    <row r="5761" spans="9:10" x14ac:dyDescent="0.25">
      <c r="I5761" s="199"/>
      <c r="J5761" s="199"/>
    </row>
    <row r="5762" spans="9:10" x14ac:dyDescent="0.25">
      <c r="I5762" s="199"/>
      <c r="J5762" s="199"/>
    </row>
    <row r="5763" spans="9:10" x14ac:dyDescent="0.25">
      <c r="I5763" s="199"/>
      <c r="J5763" s="199"/>
    </row>
    <row r="5764" spans="9:10" x14ac:dyDescent="0.25">
      <c r="I5764" s="199"/>
      <c r="J5764" s="199"/>
    </row>
    <row r="5765" spans="9:10" x14ac:dyDescent="0.25">
      <c r="I5765" s="199"/>
      <c r="J5765" s="199"/>
    </row>
    <row r="5766" spans="9:10" x14ac:dyDescent="0.25">
      <c r="I5766" s="199"/>
      <c r="J5766" s="199"/>
    </row>
    <row r="5767" spans="9:10" x14ac:dyDescent="0.25">
      <c r="I5767" s="199"/>
      <c r="J5767" s="199"/>
    </row>
    <row r="5768" spans="9:10" x14ac:dyDescent="0.25">
      <c r="I5768" s="199"/>
      <c r="J5768" s="199"/>
    </row>
    <row r="5769" spans="9:10" x14ac:dyDescent="0.25">
      <c r="I5769" s="199"/>
      <c r="J5769" s="199"/>
    </row>
    <row r="5770" spans="9:10" x14ac:dyDescent="0.25">
      <c r="I5770" s="199"/>
      <c r="J5770" s="199"/>
    </row>
    <row r="5771" spans="9:10" x14ac:dyDescent="0.25">
      <c r="I5771" s="199"/>
      <c r="J5771" s="199"/>
    </row>
    <row r="5772" spans="9:10" x14ac:dyDescent="0.25">
      <c r="I5772" s="199"/>
      <c r="J5772" s="199"/>
    </row>
    <row r="5773" spans="9:10" x14ac:dyDescent="0.25">
      <c r="I5773" s="199"/>
      <c r="J5773" s="199"/>
    </row>
    <row r="5774" spans="9:10" x14ac:dyDescent="0.25">
      <c r="I5774" s="199"/>
      <c r="J5774" s="199"/>
    </row>
    <row r="5775" spans="9:10" x14ac:dyDescent="0.25">
      <c r="I5775" s="199"/>
      <c r="J5775" s="199"/>
    </row>
    <row r="5776" spans="9:10" x14ac:dyDescent="0.25">
      <c r="I5776" s="199"/>
      <c r="J5776" s="199"/>
    </row>
    <row r="5777" spans="9:10" x14ac:dyDescent="0.25">
      <c r="I5777" s="199"/>
      <c r="J5777" s="199"/>
    </row>
    <row r="5778" spans="9:10" x14ac:dyDescent="0.25">
      <c r="I5778" s="199"/>
      <c r="J5778" s="199"/>
    </row>
    <row r="5779" spans="9:10" x14ac:dyDescent="0.25">
      <c r="I5779" s="199"/>
      <c r="J5779" s="199"/>
    </row>
    <row r="5780" spans="9:10" x14ac:dyDescent="0.25">
      <c r="I5780" s="199"/>
      <c r="J5780" s="199"/>
    </row>
    <row r="5781" spans="9:10" x14ac:dyDescent="0.25">
      <c r="I5781" s="199"/>
      <c r="J5781" s="199"/>
    </row>
    <row r="5782" spans="9:10" x14ac:dyDescent="0.25">
      <c r="I5782" s="199"/>
      <c r="J5782" s="199"/>
    </row>
    <row r="5783" spans="9:10" x14ac:dyDescent="0.25">
      <c r="I5783" s="199"/>
      <c r="J5783" s="199"/>
    </row>
    <row r="5784" spans="9:10" x14ac:dyDescent="0.25">
      <c r="I5784" s="199"/>
      <c r="J5784" s="199"/>
    </row>
    <row r="5785" spans="9:10" x14ac:dyDescent="0.25">
      <c r="I5785" s="199"/>
      <c r="J5785" s="199"/>
    </row>
    <row r="5786" spans="9:10" x14ac:dyDescent="0.25">
      <c r="I5786" s="199"/>
      <c r="J5786" s="199"/>
    </row>
    <row r="5787" spans="9:10" x14ac:dyDescent="0.25">
      <c r="I5787" s="199"/>
      <c r="J5787" s="199"/>
    </row>
    <row r="5788" spans="9:10" x14ac:dyDescent="0.25">
      <c r="I5788" s="199"/>
      <c r="J5788" s="199"/>
    </row>
    <row r="5789" spans="9:10" x14ac:dyDescent="0.25">
      <c r="I5789" s="199"/>
      <c r="J5789" s="199"/>
    </row>
    <row r="5790" spans="9:10" x14ac:dyDescent="0.25">
      <c r="I5790" s="199"/>
      <c r="J5790" s="199"/>
    </row>
    <row r="5791" spans="9:10" x14ac:dyDescent="0.25">
      <c r="I5791" s="199"/>
      <c r="J5791" s="199"/>
    </row>
    <row r="5792" spans="9:10" x14ac:dyDescent="0.25">
      <c r="I5792" s="199"/>
      <c r="J5792" s="199"/>
    </row>
    <row r="5793" spans="9:10" x14ac:dyDescent="0.25">
      <c r="I5793" s="199"/>
      <c r="J5793" s="199"/>
    </row>
    <row r="5794" spans="9:10" x14ac:dyDescent="0.25">
      <c r="I5794" s="199"/>
      <c r="J5794" s="199"/>
    </row>
    <row r="5795" spans="9:10" x14ac:dyDescent="0.25">
      <c r="I5795" s="199"/>
      <c r="J5795" s="199"/>
    </row>
    <row r="5796" spans="9:10" x14ac:dyDescent="0.25">
      <c r="I5796" s="199"/>
      <c r="J5796" s="199"/>
    </row>
    <row r="5797" spans="9:10" x14ac:dyDescent="0.25">
      <c r="I5797" s="199"/>
      <c r="J5797" s="199"/>
    </row>
    <row r="5798" spans="9:10" x14ac:dyDescent="0.25">
      <c r="I5798" s="199"/>
      <c r="J5798" s="199"/>
    </row>
    <row r="5799" spans="9:10" x14ac:dyDescent="0.25">
      <c r="I5799" s="199"/>
      <c r="J5799" s="199"/>
    </row>
    <row r="5800" spans="9:10" x14ac:dyDescent="0.25">
      <c r="I5800" s="199"/>
      <c r="J5800" s="199"/>
    </row>
    <row r="5801" spans="9:10" x14ac:dyDescent="0.25">
      <c r="I5801" s="199"/>
      <c r="J5801" s="199"/>
    </row>
    <row r="5802" spans="9:10" x14ac:dyDescent="0.25">
      <c r="I5802" s="199"/>
      <c r="J5802" s="199"/>
    </row>
    <row r="5803" spans="9:10" x14ac:dyDescent="0.25">
      <c r="I5803" s="199"/>
      <c r="J5803" s="199"/>
    </row>
    <row r="5804" spans="9:10" x14ac:dyDescent="0.25">
      <c r="I5804" s="199"/>
      <c r="J5804" s="199"/>
    </row>
    <row r="5805" spans="9:10" x14ac:dyDescent="0.25">
      <c r="I5805" s="199"/>
      <c r="J5805" s="199"/>
    </row>
    <row r="5806" spans="9:10" x14ac:dyDescent="0.25">
      <c r="I5806" s="199"/>
      <c r="J5806" s="199"/>
    </row>
    <row r="5807" spans="9:10" x14ac:dyDescent="0.25">
      <c r="I5807" s="199"/>
      <c r="J5807" s="199"/>
    </row>
    <row r="5808" spans="9:10" x14ac:dyDescent="0.25">
      <c r="I5808" s="199"/>
      <c r="J5808" s="199"/>
    </row>
    <row r="5809" spans="9:10" x14ac:dyDescent="0.25">
      <c r="I5809" s="199"/>
      <c r="J5809" s="199"/>
    </row>
    <row r="5810" spans="9:10" x14ac:dyDescent="0.25">
      <c r="I5810" s="199"/>
      <c r="J5810" s="199"/>
    </row>
    <row r="5811" spans="9:10" x14ac:dyDescent="0.25">
      <c r="I5811" s="199"/>
      <c r="J5811" s="199"/>
    </row>
    <row r="5812" spans="9:10" x14ac:dyDescent="0.25">
      <c r="I5812" s="199"/>
      <c r="J5812" s="199"/>
    </row>
    <row r="5813" spans="9:10" x14ac:dyDescent="0.25">
      <c r="I5813" s="199"/>
      <c r="J5813" s="199"/>
    </row>
    <row r="5814" spans="9:10" x14ac:dyDescent="0.25">
      <c r="I5814" s="199"/>
      <c r="J5814" s="199"/>
    </row>
    <row r="5815" spans="9:10" x14ac:dyDescent="0.25">
      <c r="I5815" s="199"/>
      <c r="J5815" s="199"/>
    </row>
    <row r="5816" spans="9:10" x14ac:dyDescent="0.25">
      <c r="I5816" s="199"/>
      <c r="J5816" s="199"/>
    </row>
    <row r="5817" spans="9:10" x14ac:dyDescent="0.25">
      <c r="I5817" s="199"/>
      <c r="J5817" s="199"/>
    </row>
    <row r="5818" spans="9:10" x14ac:dyDescent="0.25">
      <c r="I5818" s="199"/>
      <c r="J5818" s="199"/>
    </row>
    <row r="5819" spans="9:10" x14ac:dyDescent="0.25">
      <c r="I5819" s="199"/>
      <c r="J5819" s="199"/>
    </row>
    <row r="5820" spans="9:10" x14ac:dyDescent="0.25">
      <c r="I5820" s="199"/>
      <c r="J5820" s="199"/>
    </row>
    <row r="5821" spans="9:10" x14ac:dyDescent="0.25">
      <c r="I5821" s="199"/>
      <c r="J5821" s="199"/>
    </row>
    <row r="5822" spans="9:10" x14ac:dyDescent="0.25">
      <c r="I5822" s="199"/>
      <c r="J5822" s="199"/>
    </row>
    <row r="5823" spans="9:10" x14ac:dyDescent="0.25">
      <c r="I5823" s="199"/>
      <c r="J5823" s="199"/>
    </row>
    <row r="5824" spans="9:10" x14ac:dyDescent="0.25">
      <c r="I5824" s="199"/>
      <c r="J5824" s="199"/>
    </row>
    <row r="5825" spans="9:10" x14ac:dyDescent="0.25">
      <c r="I5825" s="199"/>
      <c r="J5825" s="199"/>
    </row>
    <row r="5826" spans="9:10" x14ac:dyDescent="0.25">
      <c r="I5826" s="199"/>
      <c r="J5826" s="199"/>
    </row>
    <row r="5827" spans="9:10" x14ac:dyDescent="0.25">
      <c r="I5827" s="199"/>
      <c r="J5827" s="199"/>
    </row>
    <row r="5828" spans="9:10" x14ac:dyDescent="0.25">
      <c r="I5828" s="199"/>
      <c r="J5828" s="199"/>
    </row>
    <row r="5829" spans="9:10" x14ac:dyDescent="0.25">
      <c r="I5829" s="199"/>
      <c r="J5829" s="199"/>
    </row>
    <row r="5830" spans="9:10" x14ac:dyDescent="0.25">
      <c r="I5830" s="199"/>
      <c r="J5830" s="199"/>
    </row>
    <row r="5831" spans="9:10" x14ac:dyDescent="0.25">
      <c r="I5831" s="199"/>
      <c r="J5831" s="199"/>
    </row>
    <row r="5832" spans="9:10" x14ac:dyDescent="0.25">
      <c r="I5832" s="199"/>
      <c r="J5832" s="199"/>
    </row>
    <row r="5833" spans="9:10" x14ac:dyDescent="0.25">
      <c r="I5833" s="199"/>
      <c r="J5833" s="199"/>
    </row>
    <row r="5834" spans="9:10" x14ac:dyDescent="0.25">
      <c r="I5834" s="199"/>
      <c r="J5834" s="199"/>
    </row>
    <row r="5835" spans="9:10" x14ac:dyDescent="0.25">
      <c r="I5835" s="199"/>
      <c r="J5835" s="199"/>
    </row>
    <row r="5836" spans="9:10" x14ac:dyDescent="0.25">
      <c r="I5836" s="199"/>
      <c r="J5836" s="199"/>
    </row>
    <row r="5837" spans="9:10" x14ac:dyDescent="0.25">
      <c r="I5837" s="199"/>
      <c r="J5837" s="199"/>
    </row>
    <row r="5838" spans="9:10" x14ac:dyDescent="0.25">
      <c r="I5838" s="199"/>
      <c r="J5838" s="199"/>
    </row>
    <row r="5839" spans="9:10" x14ac:dyDescent="0.25">
      <c r="I5839" s="199"/>
      <c r="J5839" s="199"/>
    </row>
    <row r="5840" spans="9:10" x14ac:dyDescent="0.25">
      <c r="I5840" s="199"/>
      <c r="J5840" s="199"/>
    </row>
    <row r="5841" spans="9:10" x14ac:dyDescent="0.25">
      <c r="I5841" s="199"/>
      <c r="J5841" s="199"/>
    </row>
    <row r="5842" spans="9:10" x14ac:dyDescent="0.25">
      <c r="I5842" s="199"/>
      <c r="J5842" s="199"/>
    </row>
    <row r="5843" spans="9:10" x14ac:dyDescent="0.25">
      <c r="I5843" s="199"/>
      <c r="J5843" s="199"/>
    </row>
    <row r="5844" spans="9:10" x14ac:dyDescent="0.25">
      <c r="I5844" s="199"/>
      <c r="J5844" s="199"/>
    </row>
    <row r="5845" spans="9:10" x14ac:dyDescent="0.25">
      <c r="I5845" s="199"/>
      <c r="J5845" s="199"/>
    </row>
    <row r="5846" spans="9:10" x14ac:dyDescent="0.25">
      <c r="I5846" s="199"/>
      <c r="J5846" s="199"/>
    </row>
    <row r="5847" spans="9:10" x14ac:dyDescent="0.25">
      <c r="I5847" s="199"/>
      <c r="J5847" s="199"/>
    </row>
    <row r="5848" spans="9:10" x14ac:dyDescent="0.25">
      <c r="I5848" s="199"/>
      <c r="J5848" s="199"/>
    </row>
    <row r="5849" spans="9:10" x14ac:dyDescent="0.25">
      <c r="I5849" s="199"/>
      <c r="J5849" s="199"/>
    </row>
    <row r="5850" spans="9:10" x14ac:dyDescent="0.25">
      <c r="I5850" s="199"/>
      <c r="J5850" s="199"/>
    </row>
    <row r="5851" spans="9:10" x14ac:dyDescent="0.25">
      <c r="I5851" s="199"/>
      <c r="J5851" s="199"/>
    </row>
    <row r="5852" spans="9:10" x14ac:dyDescent="0.25">
      <c r="I5852" s="199"/>
      <c r="J5852" s="199"/>
    </row>
    <row r="5853" spans="9:10" x14ac:dyDescent="0.25">
      <c r="I5853" s="199"/>
      <c r="J5853" s="199"/>
    </row>
    <row r="5854" spans="9:10" x14ac:dyDescent="0.25">
      <c r="I5854" s="199"/>
      <c r="J5854" s="199"/>
    </row>
    <row r="5855" spans="9:10" x14ac:dyDescent="0.25">
      <c r="I5855" s="199"/>
      <c r="J5855" s="199"/>
    </row>
    <row r="5856" spans="9:10" x14ac:dyDescent="0.25">
      <c r="I5856" s="199"/>
      <c r="J5856" s="199"/>
    </row>
    <row r="5857" spans="9:10" x14ac:dyDescent="0.25">
      <c r="I5857" s="199"/>
      <c r="J5857" s="199"/>
    </row>
    <row r="5858" spans="9:10" x14ac:dyDescent="0.25">
      <c r="I5858" s="199"/>
      <c r="J5858" s="199"/>
    </row>
    <row r="5859" spans="9:10" x14ac:dyDescent="0.25">
      <c r="I5859" s="199"/>
      <c r="J5859" s="199"/>
    </row>
    <row r="5860" spans="9:10" x14ac:dyDescent="0.25">
      <c r="I5860" s="199"/>
      <c r="J5860" s="199"/>
    </row>
    <row r="5861" spans="9:10" x14ac:dyDescent="0.25">
      <c r="I5861" s="199"/>
      <c r="J5861" s="199"/>
    </row>
    <row r="5862" spans="9:10" x14ac:dyDescent="0.25">
      <c r="I5862" s="199"/>
      <c r="J5862" s="199"/>
    </row>
    <row r="5863" spans="9:10" x14ac:dyDescent="0.25">
      <c r="I5863" s="199"/>
      <c r="J5863" s="199"/>
    </row>
    <row r="5864" spans="9:10" x14ac:dyDescent="0.25">
      <c r="I5864" s="199"/>
      <c r="J5864" s="199"/>
    </row>
    <row r="5865" spans="9:10" x14ac:dyDescent="0.25">
      <c r="I5865" s="199"/>
      <c r="J5865" s="199"/>
    </row>
    <row r="5866" spans="9:10" x14ac:dyDescent="0.25">
      <c r="I5866" s="199"/>
      <c r="J5866" s="199"/>
    </row>
    <row r="5867" spans="9:10" x14ac:dyDescent="0.25">
      <c r="I5867" s="199"/>
      <c r="J5867" s="199"/>
    </row>
    <row r="5868" spans="9:10" x14ac:dyDescent="0.25">
      <c r="I5868" s="199"/>
      <c r="J5868" s="199"/>
    </row>
    <row r="5869" spans="9:10" x14ac:dyDescent="0.25">
      <c r="I5869" s="199"/>
      <c r="J5869" s="199"/>
    </row>
    <row r="5870" spans="9:10" x14ac:dyDescent="0.25">
      <c r="I5870" s="199"/>
      <c r="J5870" s="199"/>
    </row>
    <row r="5871" spans="9:10" x14ac:dyDescent="0.25">
      <c r="I5871" s="199"/>
      <c r="J5871" s="199"/>
    </row>
    <row r="5872" spans="9:10" x14ac:dyDescent="0.25">
      <c r="I5872" s="199"/>
      <c r="J5872" s="199"/>
    </row>
    <row r="5873" spans="9:10" x14ac:dyDescent="0.25">
      <c r="I5873" s="199"/>
      <c r="J5873" s="199"/>
    </row>
    <row r="5874" spans="9:10" x14ac:dyDescent="0.25">
      <c r="I5874" s="199"/>
      <c r="J5874" s="199"/>
    </row>
    <row r="5875" spans="9:10" x14ac:dyDescent="0.25">
      <c r="I5875" s="199"/>
      <c r="J5875" s="199"/>
    </row>
    <row r="5876" spans="9:10" x14ac:dyDescent="0.25">
      <c r="I5876" s="199"/>
      <c r="J5876" s="199"/>
    </row>
    <row r="5877" spans="9:10" x14ac:dyDescent="0.25">
      <c r="I5877" s="199"/>
      <c r="J5877" s="199"/>
    </row>
    <row r="5878" spans="9:10" x14ac:dyDescent="0.25">
      <c r="I5878" s="199"/>
      <c r="J5878" s="199"/>
    </row>
    <row r="5879" spans="9:10" x14ac:dyDescent="0.25">
      <c r="I5879" s="199"/>
      <c r="J5879" s="199"/>
    </row>
    <row r="5880" spans="9:10" x14ac:dyDescent="0.25">
      <c r="I5880" s="199"/>
      <c r="J5880" s="199"/>
    </row>
    <row r="5881" spans="9:10" x14ac:dyDescent="0.25">
      <c r="I5881" s="199"/>
      <c r="J5881" s="199"/>
    </row>
    <row r="5882" spans="9:10" x14ac:dyDescent="0.25">
      <c r="I5882" s="199"/>
      <c r="J5882" s="199"/>
    </row>
    <row r="5883" spans="9:10" x14ac:dyDescent="0.25">
      <c r="I5883" s="199"/>
      <c r="J5883" s="199"/>
    </row>
    <row r="5884" spans="9:10" x14ac:dyDescent="0.25">
      <c r="I5884" s="199"/>
      <c r="J5884" s="199"/>
    </row>
    <row r="5885" spans="9:10" x14ac:dyDescent="0.25">
      <c r="I5885" s="199"/>
      <c r="J5885" s="199"/>
    </row>
    <row r="5886" spans="9:10" x14ac:dyDescent="0.25">
      <c r="I5886" s="199"/>
      <c r="J5886" s="199"/>
    </row>
    <row r="5887" spans="9:10" x14ac:dyDescent="0.25">
      <c r="I5887" s="199"/>
      <c r="J5887" s="199"/>
    </row>
    <row r="5888" spans="9:10" x14ac:dyDescent="0.25">
      <c r="I5888" s="199"/>
      <c r="J5888" s="199"/>
    </row>
    <row r="5889" spans="9:10" x14ac:dyDescent="0.25">
      <c r="I5889" s="199"/>
      <c r="J5889" s="199"/>
    </row>
    <row r="5890" spans="9:10" x14ac:dyDescent="0.25">
      <c r="I5890" s="199"/>
      <c r="J5890" s="199"/>
    </row>
    <row r="5891" spans="9:10" x14ac:dyDescent="0.25">
      <c r="I5891" s="199"/>
      <c r="J5891" s="199"/>
    </row>
    <row r="5892" spans="9:10" x14ac:dyDescent="0.25">
      <c r="I5892" s="199"/>
      <c r="J5892" s="199"/>
    </row>
    <row r="5893" spans="9:10" x14ac:dyDescent="0.25">
      <c r="I5893" s="199"/>
      <c r="J5893" s="199"/>
    </row>
    <row r="5894" spans="9:10" x14ac:dyDescent="0.25">
      <c r="I5894" s="199"/>
      <c r="J5894" s="199"/>
    </row>
    <row r="5895" spans="9:10" x14ac:dyDescent="0.25">
      <c r="I5895" s="199"/>
      <c r="J5895" s="199"/>
    </row>
    <row r="5896" spans="9:10" x14ac:dyDescent="0.25">
      <c r="I5896" s="199"/>
      <c r="J5896" s="199"/>
    </row>
    <row r="5897" spans="9:10" x14ac:dyDescent="0.25">
      <c r="I5897" s="199"/>
      <c r="J5897" s="199"/>
    </row>
    <row r="5898" spans="9:10" x14ac:dyDescent="0.25">
      <c r="I5898" s="199"/>
      <c r="J5898" s="199"/>
    </row>
    <row r="5899" spans="9:10" x14ac:dyDescent="0.25">
      <c r="I5899" s="199"/>
      <c r="J5899" s="199"/>
    </row>
    <row r="5900" spans="9:10" x14ac:dyDescent="0.25">
      <c r="I5900" s="199"/>
      <c r="J5900" s="199"/>
    </row>
    <row r="5901" spans="9:10" x14ac:dyDescent="0.25">
      <c r="I5901" s="199"/>
      <c r="J5901" s="199"/>
    </row>
    <row r="5902" spans="9:10" x14ac:dyDescent="0.25">
      <c r="I5902" s="199"/>
      <c r="J5902" s="199"/>
    </row>
    <row r="5903" spans="9:10" x14ac:dyDescent="0.25">
      <c r="I5903" s="199"/>
      <c r="J5903" s="199"/>
    </row>
    <row r="5904" spans="9:10" x14ac:dyDescent="0.25">
      <c r="I5904" s="199"/>
      <c r="J5904" s="199"/>
    </row>
    <row r="5905" spans="9:10" x14ac:dyDescent="0.25">
      <c r="I5905" s="199"/>
      <c r="J5905" s="199"/>
    </row>
    <row r="5906" spans="9:10" x14ac:dyDescent="0.25">
      <c r="I5906" s="199"/>
      <c r="J5906" s="199"/>
    </row>
    <row r="5907" spans="9:10" x14ac:dyDescent="0.25">
      <c r="I5907" s="199"/>
      <c r="J5907" s="199"/>
    </row>
    <row r="5908" spans="9:10" x14ac:dyDescent="0.25">
      <c r="I5908" s="199"/>
      <c r="J5908" s="199"/>
    </row>
    <row r="5909" spans="9:10" x14ac:dyDescent="0.25">
      <c r="I5909" s="199"/>
      <c r="J5909" s="199"/>
    </row>
    <row r="5910" spans="9:10" x14ac:dyDescent="0.25">
      <c r="I5910" s="199"/>
      <c r="J5910" s="199"/>
    </row>
    <row r="5911" spans="9:10" x14ac:dyDescent="0.25">
      <c r="I5911" s="199"/>
      <c r="J5911" s="199"/>
    </row>
    <row r="5912" spans="9:10" x14ac:dyDescent="0.25">
      <c r="I5912" s="199"/>
      <c r="J5912" s="199"/>
    </row>
    <row r="5913" spans="9:10" x14ac:dyDescent="0.25">
      <c r="I5913" s="199"/>
      <c r="J5913" s="199"/>
    </row>
    <row r="5914" spans="9:10" x14ac:dyDescent="0.25">
      <c r="I5914" s="199"/>
      <c r="J5914" s="199"/>
    </row>
    <row r="5915" spans="9:10" x14ac:dyDescent="0.25">
      <c r="I5915" s="199"/>
      <c r="J5915" s="199"/>
    </row>
    <row r="5916" spans="9:10" x14ac:dyDescent="0.25">
      <c r="I5916" s="199"/>
      <c r="J5916" s="199"/>
    </row>
    <row r="5917" spans="9:10" x14ac:dyDescent="0.25">
      <c r="I5917" s="199"/>
      <c r="J5917" s="199"/>
    </row>
    <row r="5918" spans="9:10" x14ac:dyDescent="0.25">
      <c r="I5918" s="199"/>
      <c r="J5918" s="199"/>
    </row>
    <row r="5919" spans="9:10" x14ac:dyDescent="0.25">
      <c r="I5919" s="199"/>
      <c r="J5919" s="199"/>
    </row>
    <row r="5920" spans="9:10" x14ac:dyDescent="0.25">
      <c r="I5920" s="199"/>
      <c r="J5920" s="199"/>
    </row>
    <row r="5921" spans="9:10" x14ac:dyDescent="0.25">
      <c r="I5921" s="199"/>
      <c r="J5921" s="199"/>
    </row>
    <row r="5922" spans="9:10" x14ac:dyDescent="0.25">
      <c r="I5922" s="199"/>
      <c r="J5922" s="199"/>
    </row>
    <row r="5923" spans="9:10" x14ac:dyDescent="0.25">
      <c r="I5923" s="199"/>
      <c r="J5923" s="199"/>
    </row>
    <row r="5924" spans="9:10" x14ac:dyDescent="0.25">
      <c r="I5924" s="199"/>
      <c r="J5924" s="199"/>
    </row>
    <row r="5925" spans="9:10" x14ac:dyDescent="0.25">
      <c r="I5925" s="199"/>
      <c r="J5925" s="199"/>
    </row>
    <row r="5926" spans="9:10" x14ac:dyDescent="0.25">
      <c r="I5926" s="199"/>
      <c r="J5926" s="199"/>
    </row>
    <row r="5927" spans="9:10" x14ac:dyDescent="0.25">
      <c r="I5927" s="199"/>
      <c r="J5927" s="199"/>
    </row>
    <row r="5928" spans="9:10" x14ac:dyDescent="0.25">
      <c r="I5928" s="199"/>
      <c r="J5928" s="199"/>
    </row>
    <row r="5929" spans="9:10" x14ac:dyDescent="0.25">
      <c r="I5929" s="199"/>
      <c r="J5929" s="199"/>
    </row>
    <row r="5930" spans="9:10" x14ac:dyDescent="0.25">
      <c r="I5930" s="199"/>
      <c r="J5930" s="199"/>
    </row>
    <row r="5931" spans="9:10" x14ac:dyDescent="0.25">
      <c r="I5931" s="199"/>
      <c r="J5931" s="199"/>
    </row>
    <row r="5932" spans="9:10" x14ac:dyDescent="0.25">
      <c r="I5932" s="199"/>
      <c r="J5932" s="199"/>
    </row>
    <row r="5933" spans="9:10" x14ac:dyDescent="0.25">
      <c r="I5933" s="199"/>
      <c r="J5933" s="199"/>
    </row>
    <row r="5934" spans="9:10" x14ac:dyDescent="0.25">
      <c r="I5934" s="199"/>
      <c r="J5934" s="199"/>
    </row>
    <row r="5935" spans="9:10" x14ac:dyDescent="0.25">
      <c r="I5935" s="199"/>
      <c r="J5935" s="199"/>
    </row>
    <row r="5936" spans="9:10" x14ac:dyDescent="0.25">
      <c r="I5936" s="199"/>
      <c r="J5936" s="199"/>
    </row>
    <row r="5937" spans="9:10" x14ac:dyDescent="0.25">
      <c r="I5937" s="199"/>
      <c r="J5937" s="199"/>
    </row>
    <row r="5938" spans="9:10" x14ac:dyDescent="0.25">
      <c r="I5938" s="199"/>
      <c r="J5938" s="199"/>
    </row>
    <row r="5939" spans="9:10" x14ac:dyDescent="0.25">
      <c r="I5939" s="199"/>
      <c r="J5939" s="199"/>
    </row>
    <row r="5940" spans="9:10" x14ac:dyDescent="0.25">
      <c r="I5940" s="199"/>
      <c r="J5940" s="199"/>
    </row>
    <row r="5941" spans="9:10" x14ac:dyDescent="0.25">
      <c r="I5941" s="199"/>
      <c r="J5941" s="199"/>
    </row>
    <row r="5942" spans="9:10" x14ac:dyDescent="0.25">
      <c r="I5942" s="199"/>
      <c r="J5942" s="199"/>
    </row>
    <row r="5943" spans="9:10" x14ac:dyDescent="0.25">
      <c r="I5943" s="199"/>
      <c r="J5943" s="199"/>
    </row>
    <row r="5944" spans="9:10" x14ac:dyDescent="0.25">
      <c r="I5944" s="199"/>
      <c r="J5944" s="199"/>
    </row>
    <row r="5945" spans="9:10" x14ac:dyDescent="0.25">
      <c r="I5945" s="199"/>
      <c r="J5945" s="199"/>
    </row>
    <row r="5946" spans="9:10" x14ac:dyDescent="0.25">
      <c r="I5946" s="199"/>
      <c r="J5946" s="199"/>
    </row>
    <row r="5947" spans="9:10" x14ac:dyDescent="0.25">
      <c r="I5947" s="199"/>
      <c r="J5947" s="199"/>
    </row>
    <row r="5948" spans="9:10" x14ac:dyDescent="0.25">
      <c r="I5948" s="199"/>
      <c r="J5948" s="199"/>
    </row>
    <row r="5949" spans="9:10" x14ac:dyDescent="0.25">
      <c r="I5949" s="199"/>
      <c r="J5949" s="199"/>
    </row>
    <row r="5950" spans="9:10" x14ac:dyDescent="0.25">
      <c r="I5950" s="199"/>
      <c r="J5950" s="199"/>
    </row>
    <row r="5951" spans="9:10" x14ac:dyDescent="0.25">
      <c r="I5951" s="199"/>
      <c r="J5951" s="199"/>
    </row>
    <row r="5952" spans="9:10" x14ac:dyDescent="0.25">
      <c r="I5952" s="199"/>
      <c r="J5952" s="199"/>
    </row>
    <row r="5953" spans="9:10" x14ac:dyDescent="0.25">
      <c r="I5953" s="199"/>
      <c r="J5953" s="199"/>
    </row>
    <row r="5954" spans="9:10" x14ac:dyDescent="0.25">
      <c r="I5954" s="199"/>
      <c r="J5954" s="199"/>
    </row>
    <row r="5955" spans="9:10" x14ac:dyDescent="0.25">
      <c r="I5955" s="199"/>
      <c r="J5955" s="199"/>
    </row>
    <row r="5956" spans="9:10" x14ac:dyDescent="0.25">
      <c r="I5956" s="199"/>
      <c r="J5956" s="199"/>
    </row>
    <row r="5957" spans="9:10" x14ac:dyDescent="0.25">
      <c r="I5957" s="199"/>
      <c r="J5957" s="199"/>
    </row>
    <row r="5958" spans="9:10" x14ac:dyDescent="0.25">
      <c r="I5958" s="199"/>
      <c r="J5958" s="199"/>
    </row>
    <row r="5959" spans="9:10" x14ac:dyDescent="0.25">
      <c r="I5959" s="199"/>
      <c r="J5959" s="199"/>
    </row>
    <row r="5960" spans="9:10" x14ac:dyDescent="0.25">
      <c r="I5960" s="199"/>
      <c r="J5960" s="199"/>
    </row>
    <row r="5961" spans="9:10" x14ac:dyDescent="0.25">
      <c r="I5961" s="199"/>
      <c r="J5961" s="199"/>
    </row>
    <row r="5962" spans="9:10" x14ac:dyDescent="0.25">
      <c r="I5962" s="199"/>
      <c r="J5962" s="199"/>
    </row>
    <row r="5963" spans="9:10" x14ac:dyDescent="0.25">
      <c r="I5963" s="199"/>
      <c r="J5963" s="199"/>
    </row>
    <row r="5964" spans="9:10" x14ac:dyDescent="0.25">
      <c r="I5964" s="199"/>
      <c r="J5964" s="199"/>
    </row>
    <row r="5965" spans="9:10" x14ac:dyDescent="0.25">
      <c r="I5965" s="199"/>
      <c r="J5965" s="199"/>
    </row>
    <row r="5966" spans="9:10" x14ac:dyDescent="0.25">
      <c r="I5966" s="199"/>
      <c r="J5966" s="199"/>
    </row>
    <row r="5967" spans="9:10" x14ac:dyDescent="0.25">
      <c r="I5967" s="199"/>
      <c r="J5967" s="199"/>
    </row>
    <row r="5968" spans="9:10" x14ac:dyDescent="0.25">
      <c r="I5968" s="199"/>
      <c r="J5968" s="199"/>
    </row>
    <row r="5969" spans="9:10" x14ac:dyDescent="0.25">
      <c r="I5969" s="199"/>
      <c r="J5969" s="199"/>
    </row>
    <row r="5970" spans="9:10" x14ac:dyDescent="0.25">
      <c r="I5970" s="199"/>
      <c r="J5970" s="199"/>
    </row>
    <row r="5971" spans="9:10" x14ac:dyDescent="0.25">
      <c r="I5971" s="199"/>
      <c r="J5971" s="199"/>
    </row>
    <row r="5972" spans="9:10" x14ac:dyDescent="0.25">
      <c r="I5972" s="199"/>
      <c r="J5972" s="199"/>
    </row>
    <row r="5973" spans="9:10" x14ac:dyDescent="0.25">
      <c r="I5973" s="199"/>
      <c r="J5973" s="199"/>
    </row>
    <row r="5974" spans="9:10" x14ac:dyDescent="0.25">
      <c r="I5974" s="199"/>
      <c r="J5974" s="199"/>
    </row>
    <row r="5975" spans="9:10" x14ac:dyDescent="0.25">
      <c r="I5975" s="199"/>
      <c r="J5975" s="199"/>
    </row>
    <row r="5976" spans="9:10" x14ac:dyDescent="0.25">
      <c r="I5976" s="199"/>
      <c r="J5976" s="199"/>
    </row>
    <row r="5977" spans="9:10" x14ac:dyDescent="0.25">
      <c r="I5977" s="199"/>
      <c r="J5977" s="199"/>
    </row>
    <row r="5978" spans="9:10" x14ac:dyDescent="0.25">
      <c r="I5978" s="199"/>
      <c r="J5978" s="199"/>
    </row>
    <row r="5979" spans="9:10" x14ac:dyDescent="0.25">
      <c r="I5979" s="199"/>
      <c r="J5979" s="199"/>
    </row>
    <row r="5980" spans="9:10" x14ac:dyDescent="0.25">
      <c r="I5980" s="199"/>
      <c r="J5980" s="199"/>
    </row>
    <row r="5981" spans="9:10" x14ac:dyDescent="0.25">
      <c r="I5981" s="199"/>
      <c r="J5981" s="199"/>
    </row>
    <row r="5982" spans="9:10" x14ac:dyDescent="0.25">
      <c r="I5982" s="199"/>
      <c r="J5982" s="199"/>
    </row>
    <row r="5983" spans="9:10" x14ac:dyDescent="0.25">
      <c r="I5983" s="199"/>
      <c r="J5983" s="199"/>
    </row>
    <row r="5984" spans="9:10" x14ac:dyDescent="0.25">
      <c r="I5984" s="199"/>
      <c r="J5984" s="199"/>
    </row>
    <row r="5985" spans="9:10" x14ac:dyDescent="0.25">
      <c r="I5985" s="199"/>
      <c r="J5985" s="199"/>
    </row>
    <row r="5986" spans="9:10" x14ac:dyDescent="0.25">
      <c r="I5986" s="199"/>
      <c r="J5986" s="199"/>
    </row>
    <row r="5987" spans="9:10" x14ac:dyDescent="0.25">
      <c r="I5987" s="199"/>
      <c r="J5987" s="199"/>
    </row>
    <row r="5988" spans="9:10" x14ac:dyDescent="0.25">
      <c r="I5988" s="199"/>
      <c r="J5988" s="199"/>
    </row>
    <row r="5989" spans="9:10" x14ac:dyDescent="0.25">
      <c r="I5989" s="199"/>
      <c r="J5989" s="199"/>
    </row>
    <row r="5990" spans="9:10" x14ac:dyDescent="0.25">
      <c r="I5990" s="199"/>
      <c r="J5990" s="199"/>
    </row>
    <row r="5991" spans="9:10" x14ac:dyDescent="0.25">
      <c r="I5991" s="199"/>
      <c r="J5991" s="199"/>
    </row>
    <row r="5992" spans="9:10" x14ac:dyDescent="0.25">
      <c r="I5992" s="199"/>
      <c r="J5992" s="199"/>
    </row>
    <row r="5993" spans="9:10" x14ac:dyDescent="0.25">
      <c r="I5993" s="199"/>
      <c r="J5993" s="199"/>
    </row>
    <row r="5994" spans="9:10" x14ac:dyDescent="0.25">
      <c r="I5994" s="199"/>
      <c r="J5994" s="199"/>
    </row>
    <row r="5995" spans="9:10" x14ac:dyDescent="0.25">
      <c r="I5995" s="199"/>
      <c r="J5995" s="199"/>
    </row>
    <row r="5996" spans="9:10" x14ac:dyDescent="0.25">
      <c r="I5996" s="199"/>
      <c r="J5996" s="199"/>
    </row>
    <row r="5997" spans="9:10" x14ac:dyDescent="0.25">
      <c r="I5997" s="199"/>
      <c r="J5997" s="199"/>
    </row>
    <row r="5998" spans="9:10" x14ac:dyDescent="0.25">
      <c r="I5998" s="199"/>
      <c r="J5998" s="199"/>
    </row>
    <row r="5999" spans="9:10" x14ac:dyDescent="0.25">
      <c r="I5999" s="199"/>
      <c r="J5999" s="199"/>
    </row>
    <row r="6000" spans="9:10" x14ac:dyDescent="0.25">
      <c r="I6000" s="199"/>
      <c r="J6000" s="199"/>
    </row>
    <row r="6001" spans="9:10" x14ac:dyDescent="0.25">
      <c r="I6001" s="199"/>
      <c r="J6001" s="199"/>
    </row>
    <row r="6002" spans="9:10" x14ac:dyDescent="0.25">
      <c r="I6002" s="199"/>
      <c r="J6002" s="199"/>
    </row>
    <row r="6003" spans="9:10" x14ac:dyDescent="0.25">
      <c r="I6003" s="199"/>
      <c r="J6003" s="199"/>
    </row>
    <row r="6004" spans="9:10" x14ac:dyDescent="0.25">
      <c r="I6004" s="199"/>
      <c r="J6004" s="199"/>
    </row>
    <row r="6005" spans="9:10" x14ac:dyDescent="0.25">
      <c r="I6005" s="199"/>
      <c r="J6005" s="199"/>
    </row>
    <row r="6006" spans="9:10" x14ac:dyDescent="0.25">
      <c r="I6006" s="199"/>
      <c r="J6006" s="199"/>
    </row>
    <row r="6007" spans="9:10" x14ac:dyDescent="0.25">
      <c r="I6007" s="199"/>
      <c r="J6007" s="199"/>
    </row>
    <row r="6008" spans="9:10" x14ac:dyDescent="0.25">
      <c r="I6008" s="199"/>
      <c r="J6008" s="199"/>
    </row>
    <row r="6009" spans="9:10" x14ac:dyDescent="0.25">
      <c r="I6009" s="199"/>
      <c r="J6009" s="199"/>
    </row>
    <row r="6010" spans="9:10" x14ac:dyDescent="0.25">
      <c r="I6010" s="199"/>
      <c r="J6010" s="199"/>
    </row>
    <row r="6011" spans="9:10" x14ac:dyDescent="0.25">
      <c r="I6011" s="199"/>
      <c r="J6011" s="199"/>
    </row>
    <row r="6012" spans="9:10" x14ac:dyDescent="0.25">
      <c r="I6012" s="199"/>
      <c r="J6012" s="199"/>
    </row>
    <row r="6013" spans="9:10" x14ac:dyDescent="0.25">
      <c r="I6013" s="199"/>
      <c r="J6013" s="199"/>
    </row>
    <row r="6014" spans="9:10" x14ac:dyDescent="0.25">
      <c r="I6014" s="199"/>
      <c r="J6014" s="199"/>
    </row>
    <row r="6015" spans="9:10" x14ac:dyDescent="0.25">
      <c r="I6015" s="199"/>
      <c r="J6015" s="199"/>
    </row>
    <row r="6016" spans="9:10" x14ac:dyDescent="0.25">
      <c r="I6016" s="199"/>
      <c r="J6016" s="199"/>
    </row>
    <row r="6017" spans="9:10" x14ac:dyDescent="0.25">
      <c r="I6017" s="199"/>
      <c r="J6017" s="199"/>
    </row>
    <row r="6018" spans="9:10" x14ac:dyDescent="0.25">
      <c r="I6018" s="199"/>
      <c r="J6018" s="199"/>
    </row>
    <row r="6019" spans="9:10" x14ac:dyDescent="0.25">
      <c r="I6019" s="199"/>
      <c r="J6019" s="199"/>
    </row>
    <row r="6020" spans="9:10" x14ac:dyDescent="0.25">
      <c r="I6020" s="199"/>
      <c r="J6020" s="199"/>
    </row>
    <row r="6021" spans="9:10" x14ac:dyDescent="0.25">
      <c r="I6021" s="199"/>
      <c r="J6021" s="199"/>
    </row>
    <row r="6022" spans="9:10" x14ac:dyDescent="0.25">
      <c r="I6022" s="199"/>
      <c r="J6022" s="199"/>
    </row>
    <row r="6023" spans="9:10" x14ac:dyDescent="0.25">
      <c r="I6023" s="199"/>
      <c r="J6023" s="199"/>
    </row>
    <row r="6024" spans="9:10" x14ac:dyDescent="0.25">
      <c r="I6024" s="199"/>
      <c r="J6024" s="199"/>
    </row>
    <row r="6025" spans="9:10" x14ac:dyDescent="0.25">
      <c r="I6025" s="199"/>
      <c r="J6025" s="199"/>
    </row>
    <row r="6026" spans="9:10" x14ac:dyDescent="0.25">
      <c r="I6026" s="199"/>
      <c r="J6026" s="199"/>
    </row>
    <row r="6027" spans="9:10" x14ac:dyDescent="0.25">
      <c r="I6027" s="199"/>
      <c r="J6027" s="199"/>
    </row>
    <row r="6028" spans="9:10" x14ac:dyDescent="0.25">
      <c r="I6028" s="199"/>
      <c r="J6028" s="199"/>
    </row>
    <row r="6029" spans="9:10" x14ac:dyDescent="0.25">
      <c r="I6029" s="199"/>
      <c r="J6029" s="199"/>
    </row>
    <row r="6030" spans="9:10" x14ac:dyDescent="0.25">
      <c r="I6030" s="199"/>
      <c r="J6030" s="199"/>
    </row>
    <row r="6031" spans="9:10" x14ac:dyDescent="0.25">
      <c r="I6031" s="199"/>
      <c r="J6031" s="199"/>
    </row>
    <row r="6032" spans="9:10" x14ac:dyDescent="0.25">
      <c r="I6032" s="199"/>
      <c r="J6032" s="199"/>
    </row>
    <row r="6033" spans="9:10" x14ac:dyDescent="0.25">
      <c r="I6033" s="199"/>
      <c r="J6033" s="199"/>
    </row>
    <row r="6034" spans="9:10" x14ac:dyDescent="0.25">
      <c r="I6034" s="199"/>
      <c r="J6034" s="199"/>
    </row>
    <row r="6035" spans="9:10" x14ac:dyDescent="0.25">
      <c r="I6035" s="199"/>
      <c r="J6035" s="199"/>
    </row>
    <row r="6036" spans="9:10" x14ac:dyDescent="0.25">
      <c r="I6036" s="199"/>
      <c r="J6036" s="199"/>
    </row>
    <row r="6037" spans="9:10" x14ac:dyDescent="0.25">
      <c r="I6037" s="199"/>
      <c r="J6037" s="199"/>
    </row>
    <row r="6038" spans="9:10" x14ac:dyDescent="0.25">
      <c r="I6038" s="199"/>
      <c r="J6038" s="199"/>
    </row>
    <row r="6039" spans="9:10" x14ac:dyDescent="0.25">
      <c r="I6039" s="199"/>
      <c r="J6039" s="199"/>
    </row>
    <row r="6040" spans="9:10" x14ac:dyDescent="0.25">
      <c r="I6040" s="199"/>
      <c r="J6040" s="199"/>
    </row>
    <row r="6041" spans="9:10" x14ac:dyDescent="0.25">
      <c r="I6041" s="199"/>
      <c r="J6041" s="199"/>
    </row>
    <row r="6042" spans="9:10" x14ac:dyDescent="0.25">
      <c r="I6042" s="199"/>
      <c r="J6042" s="199"/>
    </row>
    <row r="6043" spans="9:10" x14ac:dyDescent="0.25">
      <c r="I6043" s="199"/>
      <c r="J6043" s="199"/>
    </row>
    <row r="6044" spans="9:10" x14ac:dyDescent="0.25">
      <c r="I6044" s="199"/>
      <c r="J6044" s="199"/>
    </row>
    <row r="6045" spans="9:10" x14ac:dyDescent="0.25">
      <c r="I6045" s="199"/>
      <c r="J6045" s="199"/>
    </row>
    <row r="6046" spans="9:10" x14ac:dyDescent="0.25">
      <c r="I6046" s="199"/>
      <c r="J6046" s="199"/>
    </row>
    <row r="6047" spans="9:10" x14ac:dyDescent="0.25">
      <c r="I6047" s="199"/>
      <c r="J6047" s="199"/>
    </row>
    <row r="6048" spans="9:10" x14ac:dyDescent="0.25">
      <c r="I6048" s="199"/>
      <c r="J6048" s="199"/>
    </row>
    <row r="6049" spans="9:10" x14ac:dyDescent="0.25">
      <c r="I6049" s="199"/>
      <c r="J6049" s="199"/>
    </row>
    <row r="6050" spans="9:10" x14ac:dyDescent="0.25">
      <c r="I6050" s="199"/>
      <c r="J6050" s="199"/>
    </row>
    <row r="6051" spans="9:10" x14ac:dyDescent="0.25">
      <c r="I6051" s="199"/>
      <c r="J6051" s="199"/>
    </row>
    <row r="6052" spans="9:10" x14ac:dyDescent="0.25">
      <c r="I6052" s="199"/>
      <c r="J6052" s="199"/>
    </row>
    <row r="6053" spans="9:10" x14ac:dyDescent="0.25">
      <c r="I6053" s="199"/>
      <c r="J6053" s="199"/>
    </row>
    <row r="6054" spans="9:10" x14ac:dyDescent="0.25">
      <c r="I6054" s="199"/>
      <c r="J6054" s="199"/>
    </row>
    <row r="6055" spans="9:10" x14ac:dyDescent="0.25">
      <c r="I6055" s="199"/>
      <c r="J6055" s="199"/>
    </row>
    <row r="6056" spans="9:10" x14ac:dyDescent="0.25">
      <c r="I6056" s="199"/>
      <c r="J6056" s="199"/>
    </row>
    <row r="6057" spans="9:10" x14ac:dyDescent="0.25">
      <c r="I6057" s="199"/>
      <c r="J6057" s="199"/>
    </row>
    <row r="6058" spans="9:10" x14ac:dyDescent="0.25">
      <c r="I6058" s="199"/>
      <c r="J6058" s="199"/>
    </row>
    <row r="6059" spans="9:10" x14ac:dyDescent="0.25">
      <c r="I6059" s="199"/>
      <c r="J6059" s="199"/>
    </row>
    <row r="6060" spans="9:10" x14ac:dyDescent="0.25">
      <c r="I6060" s="199"/>
      <c r="J6060" s="199"/>
    </row>
    <row r="6061" spans="9:10" x14ac:dyDescent="0.25">
      <c r="I6061" s="199"/>
      <c r="J6061" s="199"/>
    </row>
    <row r="6062" spans="9:10" x14ac:dyDescent="0.25">
      <c r="I6062" s="199"/>
      <c r="J6062" s="199"/>
    </row>
    <row r="6063" spans="9:10" x14ac:dyDescent="0.25">
      <c r="I6063" s="199"/>
      <c r="J6063" s="199"/>
    </row>
    <row r="6064" spans="9:10" x14ac:dyDescent="0.25">
      <c r="I6064" s="199"/>
      <c r="J6064" s="199"/>
    </row>
    <row r="6065" spans="9:10" x14ac:dyDescent="0.25">
      <c r="I6065" s="199"/>
      <c r="J6065" s="199"/>
    </row>
    <row r="6066" spans="9:10" x14ac:dyDescent="0.25">
      <c r="I6066" s="199"/>
      <c r="J6066" s="199"/>
    </row>
    <row r="6067" spans="9:10" x14ac:dyDescent="0.25">
      <c r="I6067" s="199"/>
      <c r="J6067" s="199"/>
    </row>
    <row r="6068" spans="9:10" x14ac:dyDescent="0.25">
      <c r="I6068" s="199"/>
      <c r="J6068" s="199"/>
    </row>
    <row r="6069" spans="9:10" x14ac:dyDescent="0.25">
      <c r="I6069" s="199"/>
      <c r="J6069" s="199"/>
    </row>
    <row r="6070" spans="9:10" x14ac:dyDescent="0.25">
      <c r="I6070" s="199"/>
      <c r="J6070" s="199"/>
    </row>
    <row r="6071" spans="9:10" x14ac:dyDescent="0.25">
      <c r="I6071" s="199"/>
      <c r="J6071" s="199"/>
    </row>
    <row r="6072" spans="9:10" x14ac:dyDescent="0.25">
      <c r="I6072" s="199"/>
      <c r="J6072" s="199"/>
    </row>
    <row r="6073" spans="9:10" x14ac:dyDescent="0.25">
      <c r="I6073" s="199"/>
      <c r="J6073" s="199"/>
    </row>
    <row r="6074" spans="9:10" x14ac:dyDescent="0.25">
      <c r="I6074" s="199"/>
      <c r="J6074" s="199"/>
    </row>
    <row r="6075" spans="9:10" x14ac:dyDescent="0.25">
      <c r="I6075" s="199"/>
      <c r="J6075" s="199"/>
    </row>
    <row r="6076" spans="9:10" x14ac:dyDescent="0.25">
      <c r="I6076" s="199"/>
      <c r="J6076" s="199"/>
    </row>
    <row r="6077" spans="9:10" x14ac:dyDescent="0.25">
      <c r="I6077" s="199"/>
      <c r="J6077" s="199"/>
    </row>
    <row r="6078" spans="9:10" x14ac:dyDescent="0.25">
      <c r="I6078" s="199"/>
      <c r="J6078" s="199"/>
    </row>
    <row r="6079" spans="9:10" x14ac:dyDescent="0.25">
      <c r="I6079" s="199"/>
      <c r="J6079" s="199"/>
    </row>
    <row r="6080" spans="9:10" x14ac:dyDescent="0.25">
      <c r="I6080" s="199"/>
      <c r="J6080" s="199"/>
    </row>
    <row r="6081" spans="9:10" x14ac:dyDescent="0.25">
      <c r="I6081" s="199"/>
      <c r="J6081" s="199"/>
    </row>
    <row r="6082" spans="9:10" x14ac:dyDescent="0.25">
      <c r="I6082" s="199"/>
      <c r="J6082" s="199"/>
    </row>
    <row r="6083" spans="9:10" x14ac:dyDescent="0.25">
      <c r="I6083" s="199"/>
      <c r="J6083" s="199"/>
    </row>
    <row r="6084" spans="9:10" x14ac:dyDescent="0.25">
      <c r="I6084" s="199"/>
      <c r="J6084" s="199"/>
    </row>
    <row r="6085" spans="9:10" x14ac:dyDescent="0.25">
      <c r="I6085" s="199"/>
      <c r="J6085" s="199"/>
    </row>
    <row r="6086" spans="9:10" x14ac:dyDescent="0.25">
      <c r="I6086" s="199"/>
      <c r="J6086" s="199"/>
    </row>
    <row r="6087" spans="9:10" x14ac:dyDescent="0.25">
      <c r="I6087" s="199"/>
      <c r="J6087" s="199"/>
    </row>
    <row r="6088" spans="9:10" x14ac:dyDescent="0.25">
      <c r="I6088" s="199"/>
      <c r="J6088" s="199"/>
    </row>
    <row r="6089" spans="9:10" x14ac:dyDescent="0.25">
      <c r="I6089" s="199"/>
      <c r="J6089" s="199"/>
    </row>
    <row r="6090" spans="9:10" x14ac:dyDescent="0.25">
      <c r="I6090" s="199"/>
      <c r="J6090" s="199"/>
    </row>
    <row r="6091" spans="9:10" x14ac:dyDescent="0.25">
      <c r="I6091" s="199"/>
      <c r="J6091" s="199"/>
    </row>
    <row r="6092" spans="9:10" x14ac:dyDescent="0.25">
      <c r="I6092" s="199"/>
      <c r="J6092" s="199"/>
    </row>
    <row r="6093" spans="9:10" x14ac:dyDescent="0.25">
      <c r="I6093" s="199"/>
      <c r="J6093" s="199"/>
    </row>
    <row r="6094" spans="9:10" x14ac:dyDescent="0.25">
      <c r="I6094" s="199"/>
      <c r="J6094" s="199"/>
    </row>
    <row r="6095" spans="9:10" x14ac:dyDescent="0.25">
      <c r="I6095" s="199"/>
      <c r="J6095" s="199"/>
    </row>
    <row r="6096" spans="9:10" x14ac:dyDescent="0.25">
      <c r="I6096" s="199"/>
      <c r="J6096" s="199"/>
    </row>
    <row r="6097" spans="9:10" x14ac:dyDescent="0.25">
      <c r="I6097" s="199"/>
      <c r="J6097" s="199"/>
    </row>
    <row r="6098" spans="9:10" x14ac:dyDescent="0.25">
      <c r="I6098" s="199"/>
      <c r="J6098" s="199"/>
    </row>
    <row r="6099" spans="9:10" x14ac:dyDescent="0.25">
      <c r="I6099" s="199"/>
      <c r="J6099" s="199"/>
    </row>
    <row r="6100" spans="9:10" x14ac:dyDescent="0.25">
      <c r="I6100" s="199"/>
      <c r="J6100" s="199"/>
    </row>
    <row r="6101" spans="9:10" x14ac:dyDescent="0.25">
      <c r="I6101" s="199"/>
      <c r="J6101" s="199"/>
    </row>
    <row r="6102" spans="9:10" x14ac:dyDescent="0.25">
      <c r="I6102" s="199"/>
      <c r="J6102" s="199"/>
    </row>
    <row r="6103" spans="9:10" x14ac:dyDescent="0.25">
      <c r="I6103" s="199"/>
      <c r="J6103" s="199"/>
    </row>
    <row r="6104" spans="9:10" x14ac:dyDescent="0.25">
      <c r="I6104" s="199"/>
      <c r="J6104" s="199"/>
    </row>
    <row r="6105" spans="9:10" x14ac:dyDescent="0.25">
      <c r="I6105" s="199"/>
      <c r="J6105" s="199"/>
    </row>
    <row r="6106" spans="9:10" x14ac:dyDescent="0.25">
      <c r="I6106" s="199"/>
      <c r="J6106" s="199"/>
    </row>
    <row r="6107" spans="9:10" x14ac:dyDescent="0.25">
      <c r="I6107" s="199"/>
      <c r="J6107" s="199"/>
    </row>
    <row r="6108" spans="9:10" x14ac:dyDescent="0.25">
      <c r="I6108" s="199"/>
      <c r="J6108" s="199"/>
    </row>
    <row r="6109" spans="9:10" x14ac:dyDescent="0.25">
      <c r="I6109" s="199"/>
      <c r="J6109" s="199"/>
    </row>
    <row r="6110" spans="9:10" x14ac:dyDescent="0.25">
      <c r="I6110" s="199"/>
      <c r="J6110" s="199"/>
    </row>
    <row r="6111" spans="9:10" x14ac:dyDescent="0.25">
      <c r="I6111" s="199"/>
      <c r="J6111" s="199"/>
    </row>
    <row r="6112" spans="9:10" x14ac:dyDescent="0.25">
      <c r="I6112" s="199"/>
      <c r="J6112" s="199"/>
    </row>
    <row r="6113" spans="9:10" x14ac:dyDescent="0.25">
      <c r="I6113" s="199"/>
      <c r="J6113" s="199"/>
    </row>
    <row r="6114" spans="9:10" x14ac:dyDescent="0.25">
      <c r="I6114" s="199"/>
      <c r="J6114" s="199"/>
    </row>
    <row r="6115" spans="9:10" x14ac:dyDescent="0.25">
      <c r="I6115" s="199"/>
      <c r="J6115" s="199"/>
    </row>
    <row r="6116" spans="9:10" x14ac:dyDescent="0.25">
      <c r="I6116" s="199"/>
      <c r="J6116" s="199"/>
    </row>
    <row r="6117" spans="9:10" x14ac:dyDescent="0.25">
      <c r="I6117" s="199"/>
      <c r="J6117" s="199"/>
    </row>
    <row r="6118" spans="9:10" x14ac:dyDescent="0.25">
      <c r="I6118" s="199"/>
      <c r="J6118" s="199"/>
    </row>
    <row r="6119" spans="9:10" x14ac:dyDescent="0.25">
      <c r="I6119" s="199"/>
      <c r="J6119" s="199"/>
    </row>
    <row r="6120" spans="9:10" x14ac:dyDescent="0.25">
      <c r="I6120" s="199"/>
      <c r="J6120" s="199"/>
    </row>
    <row r="6121" spans="9:10" x14ac:dyDescent="0.25">
      <c r="I6121" s="199"/>
      <c r="J6121" s="199"/>
    </row>
    <row r="6122" spans="9:10" x14ac:dyDescent="0.25">
      <c r="I6122" s="199"/>
      <c r="J6122" s="199"/>
    </row>
    <row r="6123" spans="9:10" x14ac:dyDescent="0.25">
      <c r="I6123" s="199"/>
      <c r="J6123" s="199"/>
    </row>
    <row r="6124" spans="9:10" x14ac:dyDescent="0.25">
      <c r="I6124" s="199"/>
      <c r="J6124" s="199"/>
    </row>
    <row r="6125" spans="9:10" x14ac:dyDescent="0.25">
      <c r="I6125" s="199"/>
      <c r="J6125" s="199"/>
    </row>
    <row r="6126" spans="9:10" x14ac:dyDescent="0.25">
      <c r="I6126" s="199"/>
      <c r="J6126" s="199"/>
    </row>
    <row r="6127" spans="9:10" x14ac:dyDescent="0.25">
      <c r="I6127" s="199"/>
      <c r="J6127" s="199"/>
    </row>
    <row r="6128" spans="9:10" x14ac:dyDescent="0.25">
      <c r="I6128" s="199"/>
      <c r="J6128" s="199"/>
    </row>
    <row r="6129" spans="9:10" x14ac:dyDescent="0.25">
      <c r="I6129" s="199"/>
      <c r="J6129" s="199"/>
    </row>
    <row r="6130" spans="9:10" x14ac:dyDescent="0.25">
      <c r="I6130" s="199"/>
      <c r="J6130" s="199"/>
    </row>
    <row r="6131" spans="9:10" x14ac:dyDescent="0.25">
      <c r="I6131" s="199"/>
      <c r="J6131" s="199"/>
    </row>
    <row r="6132" spans="9:10" x14ac:dyDescent="0.25">
      <c r="I6132" s="199"/>
      <c r="J6132" s="199"/>
    </row>
    <row r="6133" spans="9:10" x14ac:dyDescent="0.25">
      <c r="I6133" s="199"/>
      <c r="J6133" s="199"/>
    </row>
    <row r="6134" spans="9:10" x14ac:dyDescent="0.25">
      <c r="I6134" s="199"/>
      <c r="J6134" s="199"/>
    </row>
    <row r="6135" spans="9:10" x14ac:dyDescent="0.25">
      <c r="I6135" s="199"/>
      <c r="J6135" s="199"/>
    </row>
    <row r="6136" spans="9:10" x14ac:dyDescent="0.25">
      <c r="I6136" s="199"/>
      <c r="J6136" s="199"/>
    </row>
    <row r="6137" spans="9:10" x14ac:dyDescent="0.25">
      <c r="I6137" s="199"/>
      <c r="J6137" s="199"/>
    </row>
    <row r="6138" spans="9:10" x14ac:dyDescent="0.25">
      <c r="I6138" s="199"/>
      <c r="J6138" s="199"/>
    </row>
    <row r="6139" spans="9:10" x14ac:dyDescent="0.25">
      <c r="I6139" s="199"/>
      <c r="J6139" s="199"/>
    </row>
    <row r="6140" spans="9:10" x14ac:dyDescent="0.25">
      <c r="I6140" s="199"/>
      <c r="J6140" s="199"/>
    </row>
    <row r="6141" spans="9:10" x14ac:dyDescent="0.25">
      <c r="I6141" s="199"/>
      <c r="J6141" s="199"/>
    </row>
    <row r="6142" spans="9:10" x14ac:dyDescent="0.25">
      <c r="I6142" s="199"/>
      <c r="J6142" s="199"/>
    </row>
    <row r="6143" spans="9:10" x14ac:dyDescent="0.25">
      <c r="I6143" s="199"/>
      <c r="J6143" s="199"/>
    </row>
    <row r="6144" spans="9:10" x14ac:dyDescent="0.25">
      <c r="I6144" s="199"/>
      <c r="J6144" s="199"/>
    </row>
    <row r="6145" spans="9:10" x14ac:dyDescent="0.25">
      <c r="I6145" s="199"/>
      <c r="J6145" s="199"/>
    </row>
    <row r="6146" spans="9:10" x14ac:dyDescent="0.25">
      <c r="I6146" s="199"/>
      <c r="J6146" s="199"/>
    </row>
    <row r="6147" spans="9:10" x14ac:dyDescent="0.25">
      <c r="I6147" s="199"/>
      <c r="J6147" s="199"/>
    </row>
    <row r="6148" spans="9:10" x14ac:dyDescent="0.25">
      <c r="I6148" s="199"/>
      <c r="J6148" s="199"/>
    </row>
    <row r="6149" spans="9:10" x14ac:dyDescent="0.25">
      <c r="I6149" s="199"/>
      <c r="J6149" s="199"/>
    </row>
    <row r="6150" spans="9:10" x14ac:dyDescent="0.25">
      <c r="I6150" s="199"/>
      <c r="J6150" s="199"/>
    </row>
    <row r="6151" spans="9:10" x14ac:dyDescent="0.25">
      <c r="I6151" s="199"/>
      <c r="J6151" s="199"/>
    </row>
    <row r="6152" spans="9:10" x14ac:dyDescent="0.25">
      <c r="I6152" s="199"/>
      <c r="J6152" s="199"/>
    </row>
    <row r="6153" spans="9:10" x14ac:dyDescent="0.25">
      <c r="I6153" s="199"/>
      <c r="J6153" s="199"/>
    </row>
    <row r="6154" spans="9:10" x14ac:dyDescent="0.25">
      <c r="I6154" s="199"/>
      <c r="J6154" s="199"/>
    </row>
    <row r="6155" spans="9:10" x14ac:dyDescent="0.25">
      <c r="I6155" s="199"/>
      <c r="J6155" s="199"/>
    </row>
    <row r="6156" spans="9:10" x14ac:dyDescent="0.25">
      <c r="I6156" s="199"/>
      <c r="J6156" s="199"/>
    </row>
    <row r="6157" spans="9:10" x14ac:dyDescent="0.25">
      <c r="I6157" s="199"/>
      <c r="J6157" s="199"/>
    </row>
    <row r="6158" spans="9:10" x14ac:dyDescent="0.25">
      <c r="I6158" s="199"/>
      <c r="J6158" s="199"/>
    </row>
    <row r="6159" spans="9:10" x14ac:dyDescent="0.25">
      <c r="I6159" s="199"/>
      <c r="J6159" s="199"/>
    </row>
    <row r="6160" spans="9:10" x14ac:dyDescent="0.25">
      <c r="I6160" s="199"/>
      <c r="J6160" s="199"/>
    </row>
    <row r="6161" spans="9:10" x14ac:dyDescent="0.25">
      <c r="I6161" s="199"/>
      <c r="J6161" s="199"/>
    </row>
    <row r="6162" spans="9:10" x14ac:dyDescent="0.25">
      <c r="I6162" s="199"/>
      <c r="J6162" s="199"/>
    </row>
    <row r="6163" spans="9:10" x14ac:dyDescent="0.25">
      <c r="I6163" s="199"/>
      <c r="J6163" s="199"/>
    </row>
    <row r="6164" spans="9:10" x14ac:dyDescent="0.25">
      <c r="I6164" s="199"/>
      <c r="J6164" s="199"/>
    </row>
    <row r="6165" spans="9:10" x14ac:dyDescent="0.25">
      <c r="I6165" s="199"/>
      <c r="J6165" s="199"/>
    </row>
    <row r="6166" spans="9:10" x14ac:dyDescent="0.25">
      <c r="I6166" s="199"/>
      <c r="J6166" s="199"/>
    </row>
    <row r="6167" spans="9:10" x14ac:dyDescent="0.25">
      <c r="I6167" s="199"/>
      <c r="J6167" s="199"/>
    </row>
    <row r="6168" spans="9:10" x14ac:dyDescent="0.25">
      <c r="I6168" s="199"/>
      <c r="J6168" s="199"/>
    </row>
    <row r="6169" spans="9:10" x14ac:dyDescent="0.25">
      <c r="I6169" s="199"/>
      <c r="J6169" s="199"/>
    </row>
    <row r="6170" spans="9:10" x14ac:dyDescent="0.25">
      <c r="I6170" s="199"/>
      <c r="J6170" s="199"/>
    </row>
    <row r="6171" spans="9:10" x14ac:dyDescent="0.25">
      <c r="I6171" s="199"/>
      <c r="J6171" s="199"/>
    </row>
    <row r="6172" spans="9:10" x14ac:dyDescent="0.25">
      <c r="I6172" s="199"/>
      <c r="J6172" s="199"/>
    </row>
    <row r="6173" spans="9:10" x14ac:dyDescent="0.25">
      <c r="I6173" s="199"/>
      <c r="J6173" s="199"/>
    </row>
    <row r="6174" spans="9:10" x14ac:dyDescent="0.25">
      <c r="I6174" s="199"/>
      <c r="J6174" s="199"/>
    </row>
    <row r="6175" spans="9:10" x14ac:dyDescent="0.25">
      <c r="I6175" s="199"/>
      <c r="J6175" s="199"/>
    </row>
    <row r="6176" spans="9:10" x14ac:dyDescent="0.25">
      <c r="I6176" s="199"/>
      <c r="J6176" s="199"/>
    </row>
    <row r="6177" spans="9:10" x14ac:dyDescent="0.25">
      <c r="I6177" s="199"/>
      <c r="J6177" s="199"/>
    </row>
    <row r="6178" spans="9:10" x14ac:dyDescent="0.25">
      <c r="I6178" s="199"/>
      <c r="J6178" s="199"/>
    </row>
    <row r="6179" spans="9:10" x14ac:dyDescent="0.25">
      <c r="I6179" s="199"/>
      <c r="J6179" s="199"/>
    </row>
    <row r="6180" spans="9:10" x14ac:dyDescent="0.25">
      <c r="I6180" s="199"/>
      <c r="J6180" s="199"/>
    </row>
    <row r="6181" spans="9:10" x14ac:dyDescent="0.25">
      <c r="I6181" s="199"/>
      <c r="J6181" s="199"/>
    </row>
    <row r="6182" spans="9:10" x14ac:dyDescent="0.25">
      <c r="I6182" s="199"/>
      <c r="J6182" s="199"/>
    </row>
    <row r="6183" spans="9:10" x14ac:dyDescent="0.25">
      <c r="I6183" s="199"/>
      <c r="J6183" s="199"/>
    </row>
    <row r="6184" spans="9:10" x14ac:dyDescent="0.25">
      <c r="I6184" s="199"/>
      <c r="J6184" s="199"/>
    </row>
    <row r="6185" spans="9:10" x14ac:dyDescent="0.25">
      <c r="I6185" s="199"/>
      <c r="J6185" s="199"/>
    </row>
    <row r="6186" spans="9:10" x14ac:dyDescent="0.25">
      <c r="I6186" s="199"/>
      <c r="J6186" s="199"/>
    </row>
    <row r="6187" spans="9:10" x14ac:dyDescent="0.25">
      <c r="I6187" s="199"/>
      <c r="J6187" s="199"/>
    </row>
    <row r="6188" spans="9:10" x14ac:dyDescent="0.25">
      <c r="I6188" s="199"/>
      <c r="J6188" s="199"/>
    </row>
    <row r="6189" spans="9:10" x14ac:dyDescent="0.25">
      <c r="I6189" s="199"/>
      <c r="J6189" s="199"/>
    </row>
    <row r="6190" spans="9:10" x14ac:dyDescent="0.25">
      <c r="I6190" s="199"/>
      <c r="J6190" s="199"/>
    </row>
    <row r="6191" spans="9:10" x14ac:dyDescent="0.25">
      <c r="I6191" s="199"/>
      <c r="J6191" s="199"/>
    </row>
    <row r="6192" spans="9:10" x14ac:dyDescent="0.25">
      <c r="I6192" s="199"/>
      <c r="J6192" s="199"/>
    </row>
    <row r="6193" spans="9:10" x14ac:dyDescent="0.25">
      <c r="I6193" s="199"/>
      <c r="J6193" s="199"/>
    </row>
    <row r="6194" spans="9:10" x14ac:dyDescent="0.25">
      <c r="I6194" s="199"/>
      <c r="J6194" s="199"/>
    </row>
    <row r="6195" spans="9:10" x14ac:dyDescent="0.25">
      <c r="I6195" s="199"/>
      <c r="J6195" s="199"/>
    </row>
    <row r="6196" spans="9:10" x14ac:dyDescent="0.25">
      <c r="I6196" s="199"/>
      <c r="J6196" s="199"/>
    </row>
    <row r="6197" spans="9:10" x14ac:dyDescent="0.25">
      <c r="I6197" s="199"/>
      <c r="J6197" s="199"/>
    </row>
    <row r="6198" spans="9:10" x14ac:dyDescent="0.25">
      <c r="I6198" s="199"/>
      <c r="J6198" s="199"/>
    </row>
    <row r="6199" spans="9:10" x14ac:dyDescent="0.25">
      <c r="I6199" s="199"/>
      <c r="J6199" s="199"/>
    </row>
    <row r="6200" spans="9:10" x14ac:dyDescent="0.25">
      <c r="I6200" s="199"/>
      <c r="J6200" s="199"/>
    </row>
    <row r="6201" spans="9:10" x14ac:dyDescent="0.25">
      <c r="I6201" s="199"/>
      <c r="J6201" s="199"/>
    </row>
    <row r="6202" spans="9:10" x14ac:dyDescent="0.25">
      <c r="I6202" s="199"/>
      <c r="J6202" s="199"/>
    </row>
    <row r="6203" spans="9:10" x14ac:dyDescent="0.25">
      <c r="I6203" s="199"/>
      <c r="J6203" s="199"/>
    </row>
    <row r="6204" spans="9:10" x14ac:dyDescent="0.25">
      <c r="I6204" s="199"/>
      <c r="J6204" s="199"/>
    </row>
    <row r="6205" spans="9:10" x14ac:dyDescent="0.25">
      <c r="I6205" s="199"/>
      <c r="J6205" s="199"/>
    </row>
    <row r="6206" spans="9:10" x14ac:dyDescent="0.25">
      <c r="I6206" s="199"/>
      <c r="J6206" s="199"/>
    </row>
    <row r="6207" spans="9:10" x14ac:dyDescent="0.25">
      <c r="I6207" s="199"/>
      <c r="J6207" s="199"/>
    </row>
    <row r="6208" spans="9:10" x14ac:dyDescent="0.25">
      <c r="I6208" s="199"/>
      <c r="J6208" s="199"/>
    </row>
    <row r="6209" spans="9:10" x14ac:dyDescent="0.25">
      <c r="I6209" s="199"/>
      <c r="J6209" s="199"/>
    </row>
    <row r="6210" spans="9:10" x14ac:dyDescent="0.25">
      <c r="I6210" s="199"/>
      <c r="J6210" s="199"/>
    </row>
    <row r="6211" spans="9:10" x14ac:dyDescent="0.25">
      <c r="I6211" s="199"/>
      <c r="J6211" s="199"/>
    </row>
    <row r="6212" spans="9:10" x14ac:dyDescent="0.25">
      <c r="I6212" s="199"/>
      <c r="J6212" s="199"/>
    </row>
    <row r="6213" spans="9:10" x14ac:dyDescent="0.25">
      <c r="I6213" s="199"/>
      <c r="J6213" s="199"/>
    </row>
    <row r="6214" spans="9:10" x14ac:dyDescent="0.25">
      <c r="I6214" s="199"/>
      <c r="J6214" s="199"/>
    </row>
    <row r="6215" spans="9:10" x14ac:dyDescent="0.25">
      <c r="I6215" s="199"/>
      <c r="J6215" s="199"/>
    </row>
    <row r="6216" spans="9:10" x14ac:dyDescent="0.25">
      <c r="I6216" s="199"/>
      <c r="J6216" s="199"/>
    </row>
    <row r="6217" spans="9:10" x14ac:dyDescent="0.25">
      <c r="I6217" s="199"/>
      <c r="J6217" s="199"/>
    </row>
    <row r="6218" spans="9:10" x14ac:dyDescent="0.25">
      <c r="I6218" s="199"/>
      <c r="J6218" s="199"/>
    </row>
    <row r="6219" spans="9:10" x14ac:dyDescent="0.25">
      <c r="I6219" s="199"/>
      <c r="J6219" s="199"/>
    </row>
    <row r="6220" spans="9:10" x14ac:dyDescent="0.25">
      <c r="I6220" s="199"/>
      <c r="J6220" s="199"/>
    </row>
    <row r="6221" spans="9:10" x14ac:dyDescent="0.25">
      <c r="I6221" s="199"/>
      <c r="J6221" s="199"/>
    </row>
    <row r="6222" spans="9:10" x14ac:dyDescent="0.25">
      <c r="I6222" s="199"/>
      <c r="J6222" s="199"/>
    </row>
    <row r="6223" spans="9:10" x14ac:dyDescent="0.25">
      <c r="I6223" s="199"/>
      <c r="J6223" s="199"/>
    </row>
    <row r="6224" spans="9:10" x14ac:dyDescent="0.25">
      <c r="I6224" s="199"/>
      <c r="J6224" s="199"/>
    </row>
    <row r="6225" spans="9:10" x14ac:dyDescent="0.25">
      <c r="I6225" s="199"/>
      <c r="J6225" s="199"/>
    </row>
    <row r="6226" spans="9:10" x14ac:dyDescent="0.25">
      <c r="I6226" s="199"/>
      <c r="J6226" s="199"/>
    </row>
    <row r="6227" spans="9:10" x14ac:dyDescent="0.25">
      <c r="I6227" s="199"/>
      <c r="J6227" s="199"/>
    </row>
    <row r="6228" spans="9:10" x14ac:dyDescent="0.25">
      <c r="I6228" s="199"/>
      <c r="J6228" s="199"/>
    </row>
    <row r="6229" spans="9:10" x14ac:dyDescent="0.25">
      <c r="I6229" s="199"/>
      <c r="J6229" s="199"/>
    </row>
    <row r="6230" spans="9:10" x14ac:dyDescent="0.25">
      <c r="I6230" s="199"/>
      <c r="J6230" s="199"/>
    </row>
    <row r="6231" spans="9:10" x14ac:dyDescent="0.25">
      <c r="I6231" s="199"/>
      <c r="J6231" s="199"/>
    </row>
    <row r="6232" spans="9:10" x14ac:dyDescent="0.25">
      <c r="I6232" s="199"/>
      <c r="J6232" s="199"/>
    </row>
    <row r="6233" spans="9:10" x14ac:dyDescent="0.25">
      <c r="I6233" s="199"/>
      <c r="J6233" s="199"/>
    </row>
    <row r="6234" spans="9:10" x14ac:dyDescent="0.25">
      <c r="I6234" s="199"/>
      <c r="J6234" s="199"/>
    </row>
    <row r="6235" spans="9:10" x14ac:dyDescent="0.25">
      <c r="I6235" s="199"/>
      <c r="J6235" s="199"/>
    </row>
    <row r="6236" spans="9:10" x14ac:dyDescent="0.25">
      <c r="I6236" s="199"/>
      <c r="J6236" s="199"/>
    </row>
    <row r="6237" spans="9:10" x14ac:dyDescent="0.25">
      <c r="I6237" s="199"/>
      <c r="J6237" s="199"/>
    </row>
    <row r="6238" spans="9:10" x14ac:dyDescent="0.25">
      <c r="I6238" s="199"/>
      <c r="J6238" s="199"/>
    </row>
    <row r="6239" spans="9:10" x14ac:dyDescent="0.25">
      <c r="I6239" s="199"/>
      <c r="J6239" s="199"/>
    </row>
    <row r="6240" spans="9:10" x14ac:dyDescent="0.25">
      <c r="I6240" s="199"/>
      <c r="J6240" s="199"/>
    </row>
    <row r="6241" spans="9:10" x14ac:dyDescent="0.25">
      <c r="I6241" s="199"/>
      <c r="J6241" s="199"/>
    </row>
    <row r="6242" spans="9:10" x14ac:dyDescent="0.25">
      <c r="I6242" s="199"/>
      <c r="J6242" s="199"/>
    </row>
    <row r="6243" spans="9:10" x14ac:dyDescent="0.25">
      <c r="I6243" s="199"/>
      <c r="J6243" s="199"/>
    </row>
    <row r="6244" spans="9:10" x14ac:dyDescent="0.25">
      <c r="I6244" s="199"/>
      <c r="J6244" s="199"/>
    </row>
    <row r="6245" spans="9:10" x14ac:dyDescent="0.25">
      <c r="I6245" s="199"/>
      <c r="J6245" s="199"/>
    </row>
    <row r="6246" spans="9:10" x14ac:dyDescent="0.25">
      <c r="I6246" s="199"/>
      <c r="J6246" s="199"/>
    </row>
    <row r="6247" spans="9:10" x14ac:dyDescent="0.25">
      <c r="I6247" s="199"/>
      <c r="J6247" s="199"/>
    </row>
    <row r="6248" spans="9:10" x14ac:dyDescent="0.25">
      <c r="I6248" s="199"/>
      <c r="J6248" s="199"/>
    </row>
    <row r="6249" spans="9:10" x14ac:dyDescent="0.25">
      <c r="I6249" s="199"/>
      <c r="J6249" s="199"/>
    </row>
    <row r="6250" spans="9:10" x14ac:dyDescent="0.25">
      <c r="I6250" s="199"/>
      <c r="J6250" s="199"/>
    </row>
    <row r="6251" spans="9:10" x14ac:dyDescent="0.25">
      <c r="I6251" s="199"/>
      <c r="J6251" s="199"/>
    </row>
    <row r="6252" spans="9:10" x14ac:dyDescent="0.25">
      <c r="I6252" s="199"/>
      <c r="J6252" s="199"/>
    </row>
    <row r="6253" spans="9:10" x14ac:dyDescent="0.25">
      <c r="I6253" s="199"/>
      <c r="J6253" s="199"/>
    </row>
    <row r="6254" spans="9:10" x14ac:dyDescent="0.25">
      <c r="I6254" s="199"/>
      <c r="J6254" s="199"/>
    </row>
    <row r="6255" spans="9:10" x14ac:dyDescent="0.25">
      <c r="I6255" s="199"/>
      <c r="J6255" s="199"/>
    </row>
    <row r="6256" spans="9:10" x14ac:dyDescent="0.25">
      <c r="I6256" s="199"/>
      <c r="J6256" s="199"/>
    </row>
    <row r="6257" spans="9:10" x14ac:dyDescent="0.25">
      <c r="I6257" s="199"/>
      <c r="J6257" s="199"/>
    </row>
    <row r="6258" spans="9:10" x14ac:dyDescent="0.25">
      <c r="I6258" s="199"/>
      <c r="J6258" s="199"/>
    </row>
    <row r="6259" spans="9:10" x14ac:dyDescent="0.25">
      <c r="I6259" s="199"/>
      <c r="J6259" s="199"/>
    </row>
    <row r="6260" spans="9:10" x14ac:dyDescent="0.25">
      <c r="I6260" s="199"/>
      <c r="J6260" s="199"/>
    </row>
    <row r="6261" spans="9:10" x14ac:dyDescent="0.25">
      <c r="I6261" s="199"/>
      <c r="J6261" s="199"/>
    </row>
    <row r="6262" spans="9:10" x14ac:dyDescent="0.25">
      <c r="I6262" s="199"/>
      <c r="J6262" s="199"/>
    </row>
    <row r="6263" spans="9:10" x14ac:dyDescent="0.25">
      <c r="I6263" s="199"/>
      <c r="J6263" s="199"/>
    </row>
    <row r="6264" spans="9:10" x14ac:dyDescent="0.25">
      <c r="I6264" s="199"/>
      <c r="J6264" s="199"/>
    </row>
    <row r="6265" spans="9:10" x14ac:dyDescent="0.25">
      <c r="I6265" s="199"/>
      <c r="J6265" s="199"/>
    </row>
    <row r="6266" spans="9:10" x14ac:dyDescent="0.25">
      <c r="I6266" s="199"/>
      <c r="J6266" s="199"/>
    </row>
    <row r="6267" spans="9:10" x14ac:dyDescent="0.25">
      <c r="I6267" s="199"/>
      <c r="J6267" s="199"/>
    </row>
    <row r="6268" spans="9:10" x14ac:dyDescent="0.25">
      <c r="I6268" s="199"/>
      <c r="J6268" s="199"/>
    </row>
    <row r="6269" spans="9:10" x14ac:dyDescent="0.25">
      <c r="I6269" s="199"/>
      <c r="J6269" s="199"/>
    </row>
    <row r="6270" spans="9:10" x14ac:dyDescent="0.25">
      <c r="I6270" s="199"/>
      <c r="J6270" s="199"/>
    </row>
    <row r="6271" spans="9:10" x14ac:dyDescent="0.25">
      <c r="I6271" s="199"/>
      <c r="J6271" s="199"/>
    </row>
    <row r="6272" spans="9:10" x14ac:dyDescent="0.25">
      <c r="I6272" s="199"/>
      <c r="J6272" s="199"/>
    </row>
    <row r="6273" spans="9:10" x14ac:dyDescent="0.25">
      <c r="I6273" s="199"/>
      <c r="J6273" s="199"/>
    </row>
    <row r="6274" spans="9:10" x14ac:dyDescent="0.25">
      <c r="I6274" s="199"/>
      <c r="J6274" s="199"/>
    </row>
    <row r="6275" spans="9:10" x14ac:dyDescent="0.25">
      <c r="I6275" s="199"/>
      <c r="J6275" s="199"/>
    </row>
    <row r="6276" spans="9:10" x14ac:dyDescent="0.25">
      <c r="I6276" s="199"/>
      <c r="J6276" s="199"/>
    </row>
    <row r="6277" spans="9:10" x14ac:dyDescent="0.25">
      <c r="I6277" s="199"/>
      <c r="J6277" s="199"/>
    </row>
    <row r="6278" spans="9:10" x14ac:dyDescent="0.25">
      <c r="I6278" s="199"/>
      <c r="J6278" s="199"/>
    </row>
    <row r="6279" spans="9:10" x14ac:dyDescent="0.25">
      <c r="I6279" s="199"/>
      <c r="J6279" s="199"/>
    </row>
    <row r="6280" spans="9:10" x14ac:dyDescent="0.25">
      <c r="I6280" s="199"/>
      <c r="J6280" s="199"/>
    </row>
    <row r="6281" spans="9:10" x14ac:dyDescent="0.25">
      <c r="I6281" s="199"/>
      <c r="J6281" s="199"/>
    </row>
    <row r="6282" spans="9:10" x14ac:dyDescent="0.25">
      <c r="I6282" s="199"/>
      <c r="J6282" s="199"/>
    </row>
    <row r="6283" spans="9:10" x14ac:dyDescent="0.25">
      <c r="I6283" s="199"/>
      <c r="J6283" s="199"/>
    </row>
    <row r="6284" spans="9:10" x14ac:dyDescent="0.25">
      <c r="I6284" s="199"/>
      <c r="J6284" s="199"/>
    </row>
    <row r="6285" spans="9:10" x14ac:dyDescent="0.25">
      <c r="I6285" s="199"/>
      <c r="J6285" s="199"/>
    </row>
    <row r="6286" spans="9:10" x14ac:dyDescent="0.25">
      <c r="I6286" s="199"/>
      <c r="J6286" s="199"/>
    </row>
    <row r="6287" spans="9:10" x14ac:dyDescent="0.25">
      <c r="I6287" s="199"/>
      <c r="J6287" s="199"/>
    </row>
    <row r="6288" spans="9:10" x14ac:dyDescent="0.25">
      <c r="I6288" s="199"/>
      <c r="J6288" s="199"/>
    </row>
    <row r="6289" spans="9:10" x14ac:dyDescent="0.25">
      <c r="I6289" s="199"/>
      <c r="J6289" s="199"/>
    </row>
    <row r="6290" spans="9:10" x14ac:dyDescent="0.25">
      <c r="I6290" s="199"/>
      <c r="J6290" s="199"/>
    </row>
    <row r="6291" spans="9:10" x14ac:dyDescent="0.25">
      <c r="I6291" s="199"/>
      <c r="J6291" s="199"/>
    </row>
    <row r="6292" spans="9:10" x14ac:dyDescent="0.25">
      <c r="I6292" s="199"/>
      <c r="J6292" s="199"/>
    </row>
    <row r="6293" spans="9:10" x14ac:dyDescent="0.25">
      <c r="I6293" s="199"/>
      <c r="J6293" s="199"/>
    </row>
    <row r="6294" spans="9:10" x14ac:dyDescent="0.25">
      <c r="I6294" s="199"/>
      <c r="J6294" s="199"/>
    </row>
    <row r="6295" spans="9:10" x14ac:dyDescent="0.25">
      <c r="I6295" s="199"/>
      <c r="J6295" s="199"/>
    </row>
    <row r="6296" spans="9:10" x14ac:dyDescent="0.25">
      <c r="I6296" s="199"/>
      <c r="J6296" s="199"/>
    </row>
    <row r="6297" spans="9:10" x14ac:dyDescent="0.25">
      <c r="I6297" s="199"/>
      <c r="J6297" s="199"/>
    </row>
    <row r="6298" spans="9:10" x14ac:dyDescent="0.25">
      <c r="I6298" s="199"/>
      <c r="J6298" s="199"/>
    </row>
    <row r="6299" spans="9:10" x14ac:dyDescent="0.25">
      <c r="I6299" s="199"/>
      <c r="J6299" s="199"/>
    </row>
    <row r="6300" spans="9:10" x14ac:dyDescent="0.25">
      <c r="I6300" s="199"/>
      <c r="J6300" s="199"/>
    </row>
    <row r="6301" spans="9:10" x14ac:dyDescent="0.25">
      <c r="I6301" s="199"/>
      <c r="J6301" s="199"/>
    </row>
    <row r="6302" spans="9:10" x14ac:dyDescent="0.25">
      <c r="I6302" s="199"/>
      <c r="J6302" s="199"/>
    </row>
    <row r="6303" spans="9:10" x14ac:dyDescent="0.25">
      <c r="I6303" s="199"/>
      <c r="J6303" s="199"/>
    </row>
    <row r="6304" spans="9:10" x14ac:dyDescent="0.25">
      <c r="I6304" s="199"/>
      <c r="J6304" s="199"/>
    </row>
    <row r="6305" spans="9:10" x14ac:dyDescent="0.25">
      <c r="I6305" s="199"/>
      <c r="J6305" s="199"/>
    </row>
    <row r="6306" spans="9:10" x14ac:dyDescent="0.25">
      <c r="I6306" s="199"/>
      <c r="J6306" s="199"/>
    </row>
    <row r="6307" spans="9:10" x14ac:dyDescent="0.25">
      <c r="I6307" s="199"/>
      <c r="J6307" s="199"/>
    </row>
    <row r="6308" spans="9:10" x14ac:dyDescent="0.25">
      <c r="I6308" s="199"/>
      <c r="J6308" s="199"/>
    </row>
    <row r="6309" spans="9:10" x14ac:dyDescent="0.25">
      <c r="I6309" s="199"/>
      <c r="J6309" s="199"/>
    </row>
    <row r="6310" spans="9:10" x14ac:dyDescent="0.25">
      <c r="I6310" s="199"/>
      <c r="J6310" s="199"/>
    </row>
    <row r="6311" spans="9:10" x14ac:dyDescent="0.25">
      <c r="I6311" s="199"/>
      <c r="J6311" s="199"/>
    </row>
    <row r="6312" spans="9:10" x14ac:dyDescent="0.25">
      <c r="I6312" s="199"/>
      <c r="J6312" s="199"/>
    </row>
    <row r="6313" spans="9:10" x14ac:dyDescent="0.25">
      <c r="I6313" s="199"/>
      <c r="J6313" s="199"/>
    </row>
    <row r="6314" spans="9:10" x14ac:dyDescent="0.25">
      <c r="I6314" s="199"/>
      <c r="J6314" s="199"/>
    </row>
    <row r="6315" spans="9:10" x14ac:dyDescent="0.25">
      <c r="I6315" s="199"/>
      <c r="J6315" s="199"/>
    </row>
    <row r="6316" spans="9:10" x14ac:dyDescent="0.25">
      <c r="I6316" s="199"/>
      <c r="J6316" s="199"/>
    </row>
    <row r="6317" spans="9:10" x14ac:dyDescent="0.25">
      <c r="I6317" s="199"/>
      <c r="J6317" s="199"/>
    </row>
    <row r="6318" spans="9:10" x14ac:dyDescent="0.25">
      <c r="I6318" s="199"/>
      <c r="J6318" s="199"/>
    </row>
    <row r="6319" spans="9:10" x14ac:dyDescent="0.25">
      <c r="I6319" s="199"/>
      <c r="J6319" s="199"/>
    </row>
    <row r="6320" spans="9:10" x14ac:dyDescent="0.25">
      <c r="I6320" s="199"/>
      <c r="J6320" s="199"/>
    </row>
    <row r="6321" spans="9:10" x14ac:dyDescent="0.25">
      <c r="I6321" s="199"/>
      <c r="J6321" s="199"/>
    </row>
    <row r="6322" spans="9:10" x14ac:dyDescent="0.25">
      <c r="I6322" s="199"/>
      <c r="J6322" s="199"/>
    </row>
    <row r="6323" spans="9:10" x14ac:dyDescent="0.25">
      <c r="I6323" s="199"/>
      <c r="J6323" s="199"/>
    </row>
    <row r="6324" spans="9:10" x14ac:dyDescent="0.25">
      <c r="I6324" s="199"/>
      <c r="J6324" s="199"/>
    </row>
    <row r="6325" spans="9:10" x14ac:dyDescent="0.25">
      <c r="I6325" s="199"/>
      <c r="J6325" s="199"/>
    </row>
    <row r="6326" spans="9:10" x14ac:dyDescent="0.25">
      <c r="I6326" s="199"/>
      <c r="J6326" s="199"/>
    </row>
    <row r="6327" spans="9:10" x14ac:dyDescent="0.25">
      <c r="I6327" s="199"/>
      <c r="J6327" s="199"/>
    </row>
    <row r="6328" spans="9:10" x14ac:dyDescent="0.25">
      <c r="I6328" s="199"/>
      <c r="J6328" s="199"/>
    </row>
    <row r="6329" spans="9:10" x14ac:dyDescent="0.25">
      <c r="I6329" s="199"/>
      <c r="J6329" s="199"/>
    </row>
    <row r="6330" spans="9:10" x14ac:dyDescent="0.25">
      <c r="I6330" s="199"/>
      <c r="J6330" s="199"/>
    </row>
    <row r="6331" spans="9:10" x14ac:dyDescent="0.25">
      <c r="I6331" s="199"/>
      <c r="J6331" s="199"/>
    </row>
    <row r="6332" spans="9:10" x14ac:dyDescent="0.25">
      <c r="I6332" s="199"/>
      <c r="J6332" s="199"/>
    </row>
    <row r="6333" spans="9:10" x14ac:dyDescent="0.25">
      <c r="I6333" s="199"/>
      <c r="J6333" s="199"/>
    </row>
    <row r="6334" spans="9:10" x14ac:dyDescent="0.25">
      <c r="I6334" s="199"/>
      <c r="J6334" s="199"/>
    </row>
    <row r="6335" spans="9:10" x14ac:dyDescent="0.25">
      <c r="I6335" s="199"/>
      <c r="J6335" s="199"/>
    </row>
    <row r="6336" spans="9:10" x14ac:dyDescent="0.25">
      <c r="I6336" s="199"/>
      <c r="J6336" s="199"/>
    </row>
    <row r="6337" spans="9:10" x14ac:dyDescent="0.25">
      <c r="I6337" s="199"/>
      <c r="J6337" s="199"/>
    </row>
    <row r="6338" spans="9:10" x14ac:dyDescent="0.25">
      <c r="I6338" s="199"/>
      <c r="J6338" s="199"/>
    </row>
    <row r="6339" spans="9:10" x14ac:dyDescent="0.25">
      <c r="I6339" s="199"/>
      <c r="J6339" s="199"/>
    </row>
    <row r="6340" spans="9:10" x14ac:dyDescent="0.25">
      <c r="I6340" s="199"/>
      <c r="J6340" s="199"/>
    </row>
    <row r="6341" spans="9:10" x14ac:dyDescent="0.25">
      <c r="I6341" s="199"/>
      <c r="J6341" s="199"/>
    </row>
    <row r="6342" spans="9:10" x14ac:dyDescent="0.25">
      <c r="I6342" s="199"/>
      <c r="J6342" s="199"/>
    </row>
    <row r="6343" spans="9:10" x14ac:dyDescent="0.25">
      <c r="I6343" s="199"/>
      <c r="J6343" s="199"/>
    </row>
    <row r="6344" spans="9:10" x14ac:dyDescent="0.25">
      <c r="I6344" s="199"/>
      <c r="J6344" s="199"/>
    </row>
    <row r="6345" spans="9:10" x14ac:dyDescent="0.25">
      <c r="I6345" s="199"/>
      <c r="J6345" s="199"/>
    </row>
    <row r="6346" spans="9:10" x14ac:dyDescent="0.25">
      <c r="I6346" s="199"/>
      <c r="J6346" s="199"/>
    </row>
    <row r="6347" spans="9:10" x14ac:dyDescent="0.25">
      <c r="I6347" s="199"/>
      <c r="J6347" s="199"/>
    </row>
    <row r="6348" spans="9:10" x14ac:dyDescent="0.25">
      <c r="I6348" s="199"/>
      <c r="J6348" s="199"/>
    </row>
    <row r="6349" spans="9:10" x14ac:dyDescent="0.25">
      <c r="I6349" s="199"/>
      <c r="J6349" s="199"/>
    </row>
    <row r="6350" spans="9:10" x14ac:dyDescent="0.25">
      <c r="I6350" s="199"/>
      <c r="J6350" s="199"/>
    </row>
    <row r="6351" spans="9:10" x14ac:dyDescent="0.25">
      <c r="I6351" s="199"/>
      <c r="J6351" s="199"/>
    </row>
    <row r="6352" spans="9:10" x14ac:dyDescent="0.25">
      <c r="I6352" s="199"/>
      <c r="J6352" s="199"/>
    </row>
    <row r="6353" spans="9:10" x14ac:dyDescent="0.25">
      <c r="I6353" s="199"/>
      <c r="J6353" s="199"/>
    </row>
    <row r="6354" spans="9:10" x14ac:dyDescent="0.25">
      <c r="I6354" s="199"/>
      <c r="J6354" s="199"/>
    </row>
    <row r="6355" spans="9:10" x14ac:dyDescent="0.25">
      <c r="I6355" s="199"/>
      <c r="J6355" s="199"/>
    </row>
    <row r="6356" spans="9:10" x14ac:dyDescent="0.25">
      <c r="I6356" s="199"/>
      <c r="J6356" s="199"/>
    </row>
    <row r="6357" spans="9:10" x14ac:dyDescent="0.25">
      <c r="I6357" s="199"/>
      <c r="J6357" s="199"/>
    </row>
    <row r="6358" spans="9:10" x14ac:dyDescent="0.25">
      <c r="I6358" s="199"/>
      <c r="J6358" s="199"/>
    </row>
    <row r="6359" spans="9:10" x14ac:dyDescent="0.25">
      <c r="I6359" s="199"/>
      <c r="J6359" s="199"/>
    </row>
    <row r="6360" spans="9:10" x14ac:dyDescent="0.25">
      <c r="I6360" s="199"/>
      <c r="J6360" s="199"/>
    </row>
    <row r="6361" spans="9:10" x14ac:dyDescent="0.25">
      <c r="I6361" s="199"/>
      <c r="J6361" s="199"/>
    </row>
    <row r="6362" spans="9:10" x14ac:dyDescent="0.25">
      <c r="I6362" s="199"/>
      <c r="J6362" s="199"/>
    </row>
    <row r="6363" spans="9:10" x14ac:dyDescent="0.25">
      <c r="I6363" s="199"/>
      <c r="J6363" s="199"/>
    </row>
    <row r="6364" spans="9:10" x14ac:dyDescent="0.25">
      <c r="I6364" s="199"/>
      <c r="J6364" s="199"/>
    </row>
    <row r="6365" spans="9:10" x14ac:dyDescent="0.25">
      <c r="I6365" s="199"/>
      <c r="J6365" s="199"/>
    </row>
    <row r="6366" spans="9:10" x14ac:dyDescent="0.25">
      <c r="I6366" s="199"/>
      <c r="J6366" s="199"/>
    </row>
    <row r="6367" spans="9:10" x14ac:dyDescent="0.25">
      <c r="I6367" s="199"/>
      <c r="J6367" s="199"/>
    </row>
    <row r="6368" spans="9:10" x14ac:dyDescent="0.25">
      <c r="I6368" s="199"/>
      <c r="J6368" s="199"/>
    </row>
    <row r="6369" spans="9:10" x14ac:dyDescent="0.25">
      <c r="I6369" s="199"/>
      <c r="J6369" s="199"/>
    </row>
    <row r="6370" spans="9:10" x14ac:dyDescent="0.25">
      <c r="I6370" s="199"/>
      <c r="J6370" s="199"/>
    </row>
    <row r="6371" spans="9:10" x14ac:dyDescent="0.25">
      <c r="I6371" s="199"/>
      <c r="J6371" s="199"/>
    </row>
    <row r="6372" spans="9:10" x14ac:dyDescent="0.25">
      <c r="I6372" s="199"/>
      <c r="J6372" s="199"/>
    </row>
    <row r="6373" spans="9:10" x14ac:dyDescent="0.25">
      <c r="I6373" s="199"/>
      <c r="J6373" s="199"/>
    </row>
    <row r="6374" spans="9:10" x14ac:dyDescent="0.25">
      <c r="I6374" s="199"/>
      <c r="J6374" s="199"/>
    </row>
    <row r="6375" spans="9:10" x14ac:dyDescent="0.25">
      <c r="I6375" s="199"/>
      <c r="J6375" s="199"/>
    </row>
    <row r="6376" spans="9:10" x14ac:dyDescent="0.25">
      <c r="I6376" s="199"/>
      <c r="J6376" s="199"/>
    </row>
    <row r="6377" spans="9:10" x14ac:dyDescent="0.25">
      <c r="I6377" s="199"/>
      <c r="J6377" s="199"/>
    </row>
    <row r="6378" spans="9:10" x14ac:dyDescent="0.25">
      <c r="I6378" s="199"/>
      <c r="J6378" s="199"/>
    </row>
    <row r="6379" spans="9:10" x14ac:dyDescent="0.25">
      <c r="I6379" s="199"/>
      <c r="J6379" s="199"/>
    </row>
    <row r="6380" spans="9:10" x14ac:dyDescent="0.25">
      <c r="I6380" s="199"/>
      <c r="J6380" s="199"/>
    </row>
    <row r="6381" spans="9:10" x14ac:dyDescent="0.25">
      <c r="I6381" s="199"/>
      <c r="J6381" s="199"/>
    </row>
    <row r="6382" spans="9:10" x14ac:dyDescent="0.25">
      <c r="I6382" s="199"/>
      <c r="J6382" s="199"/>
    </row>
    <row r="6383" spans="9:10" x14ac:dyDescent="0.25">
      <c r="I6383" s="199"/>
      <c r="J6383" s="199"/>
    </row>
    <row r="6384" spans="9:10" x14ac:dyDescent="0.25">
      <c r="I6384" s="199"/>
      <c r="J6384" s="199"/>
    </row>
    <row r="6385" spans="9:10" x14ac:dyDescent="0.25">
      <c r="I6385" s="199"/>
      <c r="J6385" s="199"/>
    </row>
    <row r="6386" spans="9:10" x14ac:dyDescent="0.25">
      <c r="I6386" s="199"/>
      <c r="J6386" s="199"/>
    </row>
    <row r="6387" spans="9:10" x14ac:dyDescent="0.25">
      <c r="I6387" s="199"/>
      <c r="J6387" s="199"/>
    </row>
    <row r="6388" spans="9:10" x14ac:dyDescent="0.25">
      <c r="I6388" s="199"/>
      <c r="J6388" s="199"/>
    </row>
    <row r="6389" spans="9:10" x14ac:dyDescent="0.25">
      <c r="I6389" s="199"/>
      <c r="J6389" s="199"/>
    </row>
    <row r="6390" spans="9:10" x14ac:dyDescent="0.25">
      <c r="I6390" s="199"/>
      <c r="J6390" s="199"/>
    </row>
    <row r="6391" spans="9:10" x14ac:dyDescent="0.25">
      <c r="I6391" s="199"/>
      <c r="J6391" s="199"/>
    </row>
    <row r="6392" spans="9:10" x14ac:dyDescent="0.25">
      <c r="I6392" s="199"/>
      <c r="J6392" s="199"/>
    </row>
    <row r="6393" spans="9:10" x14ac:dyDescent="0.25">
      <c r="I6393" s="199"/>
      <c r="J6393" s="199"/>
    </row>
    <row r="6394" spans="9:10" x14ac:dyDescent="0.25">
      <c r="I6394" s="199"/>
      <c r="J6394" s="199"/>
    </row>
    <row r="6395" spans="9:10" x14ac:dyDescent="0.25">
      <c r="I6395" s="199"/>
      <c r="J6395" s="199"/>
    </row>
    <row r="6396" spans="9:10" x14ac:dyDescent="0.25">
      <c r="I6396" s="199"/>
      <c r="J6396" s="199"/>
    </row>
    <row r="6397" spans="9:10" x14ac:dyDescent="0.25">
      <c r="I6397" s="199"/>
      <c r="J6397" s="199"/>
    </row>
    <row r="6398" spans="9:10" x14ac:dyDescent="0.25">
      <c r="I6398" s="199"/>
      <c r="J6398" s="199"/>
    </row>
    <row r="6399" spans="9:10" x14ac:dyDescent="0.25">
      <c r="I6399" s="199"/>
      <c r="J6399" s="199"/>
    </row>
    <row r="6400" spans="9:10" x14ac:dyDescent="0.25">
      <c r="I6400" s="199"/>
      <c r="J6400" s="199"/>
    </row>
    <row r="6401" spans="9:10" x14ac:dyDescent="0.25">
      <c r="I6401" s="199"/>
      <c r="J6401" s="199"/>
    </row>
    <row r="6402" spans="9:10" x14ac:dyDescent="0.25">
      <c r="I6402" s="199"/>
      <c r="J6402" s="199"/>
    </row>
    <row r="6403" spans="9:10" x14ac:dyDescent="0.25">
      <c r="I6403" s="199"/>
      <c r="J6403" s="199"/>
    </row>
    <row r="6404" spans="9:10" x14ac:dyDescent="0.25">
      <c r="I6404" s="199"/>
      <c r="J6404" s="199"/>
    </row>
    <row r="6405" spans="9:10" x14ac:dyDescent="0.25">
      <c r="I6405" s="199"/>
      <c r="J6405" s="199"/>
    </row>
    <row r="6406" spans="9:10" x14ac:dyDescent="0.25">
      <c r="I6406" s="199"/>
      <c r="J6406" s="199"/>
    </row>
    <row r="6407" spans="9:10" x14ac:dyDescent="0.25">
      <c r="I6407" s="199"/>
      <c r="J6407" s="199"/>
    </row>
    <row r="6408" spans="9:10" x14ac:dyDescent="0.25">
      <c r="I6408" s="199"/>
      <c r="J6408" s="199"/>
    </row>
    <row r="6409" spans="9:10" x14ac:dyDescent="0.25">
      <c r="I6409" s="199"/>
      <c r="J6409" s="199"/>
    </row>
    <row r="6410" spans="9:10" x14ac:dyDescent="0.25">
      <c r="I6410" s="199"/>
      <c r="J6410" s="199"/>
    </row>
    <row r="6411" spans="9:10" x14ac:dyDescent="0.25">
      <c r="I6411" s="199"/>
      <c r="J6411" s="199"/>
    </row>
    <row r="6412" spans="9:10" x14ac:dyDescent="0.25">
      <c r="I6412" s="199"/>
      <c r="J6412" s="199"/>
    </row>
    <row r="6413" spans="9:10" x14ac:dyDescent="0.25">
      <c r="I6413" s="199"/>
      <c r="J6413" s="199"/>
    </row>
    <row r="6414" spans="9:10" x14ac:dyDescent="0.25">
      <c r="I6414" s="199"/>
      <c r="J6414" s="199"/>
    </row>
    <row r="6415" spans="9:10" x14ac:dyDescent="0.25">
      <c r="I6415" s="199"/>
      <c r="J6415" s="199"/>
    </row>
    <row r="6416" spans="9:10" x14ac:dyDescent="0.25">
      <c r="I6416" s="199"/>
      <c r="J6416" s="199"/>
    </row>
    <row r="6417" spans="9:10" x14ac:dyDescent="0.25">
      <c r="I6417" s="199"/>
      <c r="J6417" s="199"/>
    </row>
    <row r="6418" spans="9:10" x14ac:dyDescent="0.25">
      <c r="I6418" s="199"/>
      <c r="J6418" s="199"/>
    </row>
    <row r="6419" spans="9:10" x14ac:dyDescent="0.25">
      <c r="I6419" s="199"/>
      <c r="J6419" s="199"/>
    </row>
    <row r="6420" spans="9:10" x14ac:dyDescent="0.25">
      <c r="I6420" s="199"/>
      <c r="J6420" s="199"/>
    </row>
    <row r="6421" spans="9:10" x14ac:dyDescent="0.25">
      <c r="I6421" s="199"/>
      <c r="J6421" s="199"/>
    </row>
    <row r="6422" spans="9:10" x14ac:dyDescent="0.25">
      <c r="I6422" s="199"/>
      <c r="J6422" s="199"/>
    </row>
    <row r="6423" spans="9:10" x14ac:dyDescent="0.25">
      <c r="I6423" s="199"/>
      <c r="J6423" s="199"/>
    </row>
    <row r="6424" spans="9:10" x14ac:dyDescent="0.25">
      <c r="I6424" s="199"/>
      <c r="J6424" s="199"/>
    </row>
    <row r="6425" spans="9:10" x14ac:dyDescent="0.25">
      <c r="I6425" s="199"/>
      <c r="J6425" s="199"/>
    </row>
    <row r="6426" spans="9:10" x14ac:dyDescent="0.25">
      <c r="I6426" s="199"/>
      <c r="J6426" s="199"/>
    </row>
    <row r="6427" spans="9:10" x14ac:dyDescent="0.25">
      <c r="I6427" s="199"/>
      <c r="J6427" s="199"/>
    </row>
    <row r="6428" spans="9:10" x14ac:dyDescent="0.25">
      <c r="I6428" s="199"/>
      <c r="J6428" s="199"/>
    </row>
    <row r="6429" spans="9:10" x14ac:dyDescent="0.25">
      <c r="I6429" s="199"/>
      <c r="J6429" s="199"/>
    </row>
    <row r="6430" spans="9:10" x14ac:dyDescent="0.25">
      <c r="I6430" s="199"/>
      <c r="J6430" s="199"/>
    </row>
    <row r="6431" spans="9:10" x14ac:dyDescent="0.25">
      <c r="I6431" s="199"/>
      <c r="J6431" s="199"/>
    </row>
    <row r="6432" spans="9:10" x14ac:dyDescent="0.25">
      <c r="I6432" s="199"/>
      <c r="J6432" s="199"/>
    </row>
    <row r="6433" spans="9:10" x14ac:dyDescent="0.25">
      <c r="I6433" s="199"/>
      <c r="J6433" s="199"/>
    </row>
    <row r="6434" spans="9:10" x14ac:dyDescent="0.25">
      <c r="I6434" s="199"/>
      <c r="J6434" s="199"/>
    </row>
    <row r="6435" spans="9:10" x14ac:dyDescent="0.25">
      <c r="I6435" s="199"/>
      <c r="J6435" s="199"/>
    </row>
    <row r="6436" spans="9:10" x14ac:dyDescent="0.25">
      <c r="I6436" s="199"/>
      <c r="J6436" s="199"/>
    </row>
    <row r="6437" spans="9:10" x14ac:dyDescent="0.25">
      <c r="I6437" s="199"/>
      <c r="J6437" s="199"/>
    </row>
    <row r="6438" spans="9:10" x14ac:dyDescent="0.25">
      <c r="I6438" s="199"/>
      <c r="J6438" s="199"/>
    </row>
    <row r="6439" spans="9:10" x14ac:dyDescent="0.25">
      <c r="I6439" s="199"/>
      <c r="J6439" s="199"/>
    </row>
    <row r="6440" spans="9:10" x14ac:dyDescent="0.25">
      <c r="I6440" s="199"/>
      <c r="J6440" s="199"/>
    </row>
    <row r="6441" spans="9:10" x14ac:dyDescent="0.25">
      <c r="I6441" s="199"/>
      <c r="J6441" s="199"/>
    </row>
    <row r="6442" spans="9:10" x14ac:dyDescent="0.25">
      <c r="I6442" s="199"/>
      <c r="J6442" s="199"/>
    </row>
    <row r="6443" spans="9:10" x14ac:dyDescent="0.25">
      <c r="I6443" s="199"/>
      <c r="J6443" s="199"/>
    </row>
    <row r="6444" spans="9:10" x14ac:dyDescent="0.25">
      <c r="I6444" s="199"/>
      <c r="J6444" s="199"/>
    </row>
    <row r="6445" spans="9:10" x14ac:dyDescent="0.25">
      <c r="I6445" s="199"/>
      <c r="J6445" s="199"/>
    </row>
    <row r="6446" spans="9:10" x14ac:dyDescent="0.25">
      <c r="I6446" s="199"/>
      <c r="J6446" s="199"/>
    </row>
    <row r="6447" spans="9:10" x14ac:dyDescent="0.25">
      <c r="I6447" s="199"/>
      <c r="J6447" s="199"/>
    </row>
    <row r="6448" spans="9:10" x14ac:dyDescent="0.25">
      <c r="I6448" s="199"/>
      <c r="J6448" s="199"/>
    </row>
    <row r="6449" spans="9:10" x14ac:dyDescent="0.25">
      <c r="I6449" s="199"/>
      <c r="J6449" s="199"/>
    </row>
    <row r="6450" spans="9:10" x14ac:dyDescent="0.25">
      <c r="I6450" s="199"/>
      <c r="J6450" s="199"/>
    </row>
    <row r="6451" spans="9:10" x14ac:dyDescent="0.25">
      <c r="I6451" s="199"/>
      <c r="J6451" s="199"/>
    </row>
    <row r="6452" spans="9:10" x14ac:dyDescent="0.25">
      <c r="I6452" s="199"/>
      <c r="J6452" s="199"/>
    </row>
    <row r="6453" spans="9:10" x14ac:dyDescent="0.25">
      <c r="I6453" s="199"/>
      <c r="J6453" s="199"/>
    </row>
    <row r="6454" spans="9:10" x14ac:dyDescent="0.25">
      <c r="I6454" s="199"/>
      <c r="J6454" s="199"/>
    </row>
    <row r="6455" spans="9:10" x14ac:dyDescent="0.25">
      <c r="I6455" s="199"/>
      <c r="J6455" s="199"/>
    </row>
    <row r="6456" spans="9:10" x14ac:dyDescent="0.25">
      <c r="I6456" s="199"/>
      <c r="J6456" s="199"/>
    </row>
    <row r="6457" spans="9:10" x14ac:dyDescent="0.25">
      <c r="I6457" s="199"/>
      <c r="J6457" s="199"/>
    </row>
    <row r="6458" spans="9:10" x14ac:dyDescent="0.25">
      <c r="I6458" s="199"/>
      <c r="J6458" s="199"/>
    </row>
    <row r="6459" spans="9:10" x14ac:dyDescent="0.25">
      <c r="I6459" s="199"/>
      <c r="J6459" s="199"/>
    </row>
    <row r="6460" spans="9:10" x14ac:dyDescent="0.25">
      <c r="I6460" s="199"/>
      <c r="J6460" s="199"/>
    </row>
    <row r="6461" spans="9:10" x14ac:dyDescent="0.25">
      <c r="I6461" s="199"/>
      <c r="J6461" s="199"/>
    </row>
    <row r="6462" spans="9:10" x14ac:dyDescent="0.25">
      <c r="I6462" s="199"/>
      <c r="J6462" s="199"/>
    </row>
    <row r="6463" spans="9:10" x14ac:dyDescent="0.25">
      <c r="I6463" s="199"/>
      <c r="J6463" s="199"/>
    </row>
    <row r="6464" spans="9:10" x14ac:dyDescent="0.25">
      <c r="I6464" s="199"/>
      <c r="J6464" s="199"/>
    </row>
    <row r="6465" spans="9:10" x14ac:dyDescent="0.25">
      <c r="I6465" s="199"/>
      <c r="J6465" s="199"/>
    </row>
    <row r="6466" spans="9:10" x14ac:dyDescent="0.25">
      <c r="I6466" s="199"/>
      <c r="J6466" s="199"/>
    </row>
    <row r="6467" spans="9:10" x14ac:dyDescent="0.25">
      <c r="I6467" s="199"/>
      <c r="J6467" s="199"/>
    </row>
    <row r="6468" spans="9:10" x14ac:dyDescent="0.25">
      <c r="I6468" s="199"/>
      <c r="J6468" s="199"/>
    </row>
    <row r="6469" spans="9:10" x14ac:dyDescent="0.25">
      <c r="I6469" s="199"/>
      <c r="J6469" s="199"/>
    </row>
    <row r="6470" spans="9:10" x14ac:dyDescent="0.25">
      <c r="I6470" s="199"/>
      <c r="J6470" s="199"/>
    </row>
    <row r="6471" spans="9:10" x14ac:dyDescent="0.25">
      <c r="I6471" s="199"/>
      <c r="J6471" s="199"/>
    </row>
    <row r="6472" spans="9:10" x14ac:dyDescent="0.25">
      <c r="I6472" s="199"/>
      <c r="J6472" s="199"/>
    </row>
    <row r="6473" spans="9:10" x14ac:dyDescent="0.25">
      <c r="I6473" s="199"/>
      <c r="J6473" s="199"/>
    </row>
    <row r="6474" spans="9:10" x14ac:dyDescent="0.25">
      <c r="I6474" s="199"/>
      <c r="J6474" s="199"/>
    </row>
    <row r="6475" spans="9:10" x14ac:dyDescent="0.25">
      <c r="I6475" s="199"/>
      <c r="J6475" s="199"/>
    </row>
    <row r="6476" spans="9:10" x14ac:dyDescent="0.25">
      <c r="I6476" s="199"/>
      <c r="J6476" s="199"/>
    </row>
    <row r="6477" spans="9:10" x14ac:dyDescent="0.25">
      <c r="I6477" s="199"/>
      <c r="J6477" s="199"/>
    </row>
    <row r="6478" spans="9:10" x14ac:dyDescent="0.25">
      <c r="I6478" s="199"/>
      <c r="J6478" s="199"/>
    </row>
    <row r="6479" spans="9:10" x14ac:dyDescent="0.25">
      <c r="I6479" s="199"/>
      <c r="J6479" s="199"/>
    </row>
    <row r="6480" spans="9:10" x14ac:dyDescent="0.25">
      <c r="I6480" s="199"/>
      <c r="J6480" s="199"/>
    </row>
    <row r="6481" spans="9:10" x14ac:dyDescent="0.25">
      <c r="I6481" s="199"/>
      <c r="J6481" s="199"/>
    </row>
    <row r="6482" spans="9:10" x14ac:dyDescent="0.25">
      <c r="I6482" s="199"/>
      <c r="J6482" s="199"/>
    </row>
    <row r="6483" spans="9:10" x14ac:dyDescent="0.25">
      <c r="I6483" s="199"/>
      <c r="J6483" s="199"/>
    </row>
    <row r="6484" spans="9:10" x14ac:dyDescent="0.25">
      <c r="I6484" s="199"/>
      <c r="J6484" s="199"/>
    </row>
    <row r="6485" spans="9:10" x14ac:dyDescent="0.25">
      <c r="I6485" s="199"/>
      <c r="J6485" s="199"/>
    </row>
    <row r="6486" spans="9:10" x14ac:dyDescent="0.25">
      <c r="I6486" s="199"/>
      <c r="J6486" s="199"/>
    </row>
    <row r="6487" spans="9:10" x14ac:dyDescent="0.25">
      <c r="I6487" s="199"/>
      <c r="J6487" s="199"/>
    </row>
    <row r="6488" spans="9:10" x14ac:dyDescent="0.25">
      <c r="I6488" s="199"/>
      <c r="J6488" s="199"/>
    </row>
    <row r="6489" spans="9:10" x14ac:dyDescent="0.25">
      <c r="I6489" s="199"/>
      <c r="J6489" s="199"/>
    </row>
    <row r="6490" spans="9:10" x14ac:dyDescent="0.25">
      <c r="I6490" s="199"/>
      <c r="J6490" s="199"/>
    </row>
    <row r="6491" spans="9:10" x14ac:dyDescent="0.25">
      <c r="I6491" s="199"/>
      <c r="J6491" s="199"/>
    </row>
    <row r="6492" spans="9:10" x14ac:dyDescent="0.25">
      <c r="I6492" s="199"/>
      <c r="J6492" s="199"/>
    </row>
    <row r="6493" spans="9:10" x14ac:dyDescent="0.25">
      <c r="I6493" s="199"/>
      <c r="J6493" s="199"/>
    </row>
    <row r="6494" spans="9:10" x14ac:dyDescent="0.25">
      <c r="I6494" s="199"/>
      <c r="J6494" s="199"/>
    </row>
    <row r="6495" spans="9:10" x14ac:dyDescent="0.25">
      <c r="I6495" s="199"/>
      <c r="J6495" s="199"/>
    </row>
    <row r="6496" spans="9:10" x14ac:dyDescent="0.25">
      <c r="I6496" s="199"/>
      <c r="J6496" s="199"/>
    </row>
    <row r="6497" spans="9:10" x14ac:dyDescent="0.25">
      <c r="I6497" s="199"/>
      <c r="J6497" s="199"/>
    </row>
    <row r="6498" spans="9:10" x14ac:dyDescent="0.25">
      <c r="I6498" s="199"/>
      <c r="J6498" s="199"/>
    </row>
    <row r="6499" spans="9:10" x14ac:dyDescent="0.25">
      <c r="I6499" s="199"/>
      <c r="J6499" s="199"/>
    </row>
    <row r="6500" spans="9:10" x14ac:dyDescent="0.25">
      <c r="I6500" s="199"/>
      <c r="J6500" s="199"/>
    </row>
    <row r="6501" spans="9:10" x14ac:dyDescent="0.25">
      <c r="I6501" s="199"/>
      <c r="J6501" s="199"/>
    </row>
    <row r="6502" spans="9:10" x14ac:dyDescent="0.25">
      <c r="I6502" s="199"/>
      <c r="J6502" s="199"/>
    </row>
    <row r="6503" spans="9:10" x14ac:dyDescent="0.25">
      <c r="I6503" s="199"/>
      <c r="J6503" s="199"/>
    </row>
    <row r="6504" spans="9:10" x14ac:dyDescent="0.25">
      <c r="I6504" s="199"/>
      <c r="J6504" s="199"/>
    </row>
    <row r="6505" spans="9:10" x14ac:dyDescent="0.25">
      <c r="I6505" s="199"/>
      <c r="J6505" s="199"/>
    </row>
    <row r="6506" spans="9:10" x14ac:dyDescent="0.25">
      <c r="I6506" s="199"/>
      <c r="J6506" s="199"/>
    </row>
    <row r="6507" spans="9:10" x14ac:dyDescent="0.25">
      <c r="I6507" s="199"/>
      <c r="J6507" s="199"/>
    </row>
    <row r="6508" spans="9:10" x14ac:dyDescent="0.25">
      <c r="I6508" s="199"/>
      <c r="J6508" s="199"/>
    </row>
    <row r="6509" spans="9:10" x14ac:dyDescent="0.25">
      <c r="I6509" s="199"/>
      <c r="J6509" s="199"/>
    </row>
    <row r="6510" spans="9:10" x14ac:dyDescent="0.25">
      <c r="I6510" s="199"/>
      <c r="J6510" s="199"/>
    </row>
    <row r="6511" spans="9:10" x14ac:dyDescent="0.25">
      <c r="I6511" s="199"/>
      <c r="J6511" s="199"/>
    </row>
    <row r="6512" spans="9:10" x14ac:dyDescent="0.25">
      <c r="I6512" s="199"/>
      <c r="J6512" s="199"/>
    </row>
    <row r="6513" spans="9:10" x14ac:dyDescent="0.25">
      <c r="I6513" s="199"/>
      <c r="J6513" s="199"/>
    </row>
    <row r="6514" spans="9:10" x14ac:dyDescent="0.25">
      <c r="I6514" s="199"/>
      <c r="J6514" s="199"/>
    </row>
    <row r="6515" spans="9:10" x14ac:dyDescent="0.25">
      <c r="I6515" s="199"/>
      <c r="J6515" s="199"/>
    </row>
    <row r="6516" spans="9:10" x14ac:dyDescent="0.25">
      <c r="I6516" s="199"/>
      <c r="J6516" s="199"/>
    </row>
    <row r="6517" spans="9:10" x14ac:dyDescent="0.25">
      <c r="I6517" s="199"/>
      <c r="J6517" s="199"/>
    </row>
    <row r="6518" spans="9:10" x14ac:dyDescent="0.25">
      <c r="I6518" s="199"/>
      <c r="J6518" s="199"/>
    </row>
    <row r="6519" spans="9:10" x14ac:dyDescent="0.25">
      <c r="I6519" s="199"/>
      <c r="J6519" s="199"/>
    </row>
    <row r="6520" spans="9:10" x14ac:dyDescent="0.25">
      <c r="I6520" s="199"/>
      <c r="J6520" s="199"/>
    </row>
    <row r="6521" spans="9:10" x14ac:dyDescent="0.25">
      <c r="I6521" s="199"/>
      <c r="J6521" s="199"/>
    </row>
    <row r="6522" spans="9:10" x14ac:dyDescent="0.25">
      <c r="I6522" s="199"/>
      <c r="J6522" s="199"/>
    </row>
    <row r="6523" spans="9:10" x14ac:dyDescent="0.25">
      <c r="I6523" s="199"/>
      <c r="J6523" s="199"/>
    </row>
    <row r="6524" spans="9:10" x14ac:dyDescent="0.25">
      <c r="I6524" s="199"/>
      <c r="J6524" s="199"/>
    </row>
    <row r="6525" spans="9:10" x14ac:dyDescent="0.25">
      <c r="I6525" s="199"/>
      <c r="J6525" s="199"/>
    </row>
    <row r="6526" spans="9:10" x14ac:dyDescent="0.25">
      <c r="I6526" s="199"/>
      <c r="J6526" s="199"/>
    </row>
    <row r="6527" spans="9:10" x14ac:dyDescent="0.25">
      <c r="I6527" s="199"/>
      <c r="J6527" s="199"/>
    </row>
    <row r="6528" spans="9:10" x14ac:dyDescent="0.25">
      <c r="I6528" s="199"/>
      <c r="J6528" s="199"/>
    </row>
    <row r="6529" spans="9:10" x14ac:dyDescent="0.25">
      <c r="I6529" s="199"/>
      <c r="J6529" s="199"/>
    </row>
    <row r="6530" spans="9:10" x14ac:dyDescent="0.25">
      <c r="I6530" s="199"/>
      <c r="J6530" s="199"/>
    </row>
    <row r="6531" spans="9:10" x14ac:dyDescent="0.25">
      <c r="I6531" s="199"/>
      <c r="J6531" s="199"/>
    </row>
    <row r="6532" spans="9:10" x14ac:dyDescent="0.25">
      <c r="I6532" s="199"/>
      <c r="J6532" s="199"/>
    </row>
    <row r="6533" spans="9:10" x14ac:dyDescent="0.25">
      <c r="I6533" s="199"/>
      <c r="J6533" s="199"/>
    </row>
    <row r="6534" spans="9:10" x14ac:dyDescent="0.25">
      <c r="I6534" s="199"/>
      <c r="J6534" s="199"/>
    </row>
    <row r="6535" spans="9:10" x14ac:dyDescent="0.25">
      <c r="I6535" s="199"/>
      <c r="J6535" s="199"/>
    </row>
    <row r="6536" spans="9:10" x14ac:dyDescent="0.25">
      <c r="I6536" s="199"/>
      <c r="J6536" s="199"/>
    </row>
    <row r="6537" spans="9:10" x14ac:dyDescent="0.25">
      <c r="I6537" s="199"/>
      <c r="J6537" s="199"/>
    </row>
    <row r="6538" spans="9:10" x14ac:dyDescent="0.25">
      <c r="I6538" s="199"/>
      <c r="J6538" s="199"/>
    </row>
    <row r="6539" spans="9:10" x14ac:dyDescent="0.25">
      <c r="I6539" s="199"/>
      <c r="J6539" s="199"/>
    </row>
    <row r="6540" spans="9:10" x14ac:dyDescent="0.25">
      <c r="I6540" s="199"/>
      <c r="J6540" s="199"/>
    </row>
    <row r="6541" spans="9:10" x14ac:dyDescent="0.25">
      <c r="I6541" s="199"/>
      <c r="J6541" s="199"/>
    </row>
    <row r="6542" spans="9:10" x14ac:dyDescent="0.25">
      <c r="I6542" s="199"/>
      <c r="J6542" s="199"/>
    </row>
    <row r="6543" spans="9:10" x14ac:dyDescent="0.25">
      <c r="I6543" s="199"/>
      <c r="J6543" s="199"/>
    </row>
    <row r="6544" spans="9:10" x14ac:dyDescent="0.25">
      <c r="I6544" s="199"/>
      <c r="J6544" s="199"/>
    </row>
    <row r="6545" spans="9:10" x14ac:dyDescent="0.25">
      <c r="I6545" s="199"/>
      <c r="J6545" s="199"/>
    </row>
    <row r="6546" spans="9:10" x14ac:dyDescent="0.25">
      <c r="I6546" s="199"/>
      <c r="J6546" s="199"/>
    </row>
    <row r="6547" spans="9:10" x14ac:dyDescent="0.25">
      <c r="I6547" s="199"/>
      <c r="J6547" s="199"/>
    </row>
    <row r="6548" spans="9:10" x14ac:dyDescent="0.25">
      <c r="I6548" s="199"/>
      <c r="J6548" s="199"/>
    </row>
    <row r="6549" spans="9:10" x14ac:dyDescent="0.25">
      <c r="I6549" s="199"/>
      <c r="J6549" s="199"/>
    </row>
    <row r="6550" spans="9:10" x14ac:dyDescent="0.25">
      <c r="I6550" s="199"/>
      <c r="J6550" s="199"/>
    </row>
    <row r="6551" spans="9:10" x14ac:dyDescent="0.25">
      <c r="I6551" s="199"/>
      <c r="J6551" s="199"/>
    </row>
    <row r="6552" spans="9:10" x14ac:dyDescent="0.25">
      <c r="I6552" s="199"/>
      <c r="J6552" s="199"/>
    </row>
    <row r="6553" spans="9:10" x14ac:dyDescent="0.25">
      <c r="I6553" s="199"/>
      <c r="J6553" s="199"/>
    </row>
    <row r="6554" spans="9:10" x14ac:dyDescent="0.25">
      <c r="I6554" s="199"/>
      <c r="J6554" s="199"/>
    </row>
    <row r="6555" spans="9:10" x14ac:dyDescent="0.25">
      <c r="I6555" s="199"/>
      <c r="J6555" s="199"/>
    </row>
    <row r="6556" spans="9:10" x14ac:dyDescent="0.25">
      <c r="I6556" s="199"/>
      <c r="J6556" s="199"/>
    </row>
    <row r="6557" spans="9:10" x14ac:dyDescent="0.25">
      <c r="I6557" s="199"/>
      <c r="J6557" s="199"/>
    </row>
    <row r="6558" spans="9:10" x14ac:dyDescent="0.25">
      <c r="I6558" s="199"/>
      <c r="J6558" s="199"/>
    </row>
    <row r="6559" spans="9:10" x14ac:dyDescent="0.25">
      <c r="I6559" s="199"/>
      <c r="J6559" s="199"/>
    </row>
    <row r="6560" spans="9:10" x14ac:dyDescent="0.25">
      <c r="I6560" s="199"/>
      <c r="J6560" s="199"/>
    </row>
    <row r="6561" spans="9:10" x14ac:dyDescent="0.25">
      <c r="I6561" s="199"/>
      <c r="J6561" s="199"/>
    </row>
    <row r="6562" spans="9:10" x14ac:dyDescent="0.25">
      <c r="I6562" s="199"/>
      <c r="J6562" s="199"/>
    </row>
    <row r="6563" spans="9:10" x14ac:dyDescent="0.25">
      <c r="I6563" s="199"/>
      <c r="J6563" s="199"/>
    </row>
    <row r="6564" spans="9:10" x14ac:dyDescent="0.25">
      <c r="I6564" s="199"/>
      <c r="J6564" s="199"/>
    </row>
    <row r="6565" spans="9:10" x14ac:dyDescent="0.25">
      <c r="I6565" s="199"/>
      <c r="J6565" s="199"/>
    </row>
    <row r="6566" spans="9:10" x14ac:dyDescent="0.25">
      <c r="I6566" s="199"/>
      <c r="J6566" s="199"/>
    </row>
    <row r="6567" spans="9:10" x14ac:dyDescent="0.25">
      <c r="I6567" s="199"/>
      <c r="J6567" s="199"/>
    </row>
    <row r="6568" spans="9:10" x14ac:dyDescent="0.25">
      <c r="I6568" s="199"/>
      <c r="J6568" s="199"/>
    </row>
    <row r="6569" spans="9:10" x14ac:dyDescent="0.25">
      <c r="I6569" s="199"/>
      <c r="J6569" s="199"/>
    </row>
    <row r="6570" spans="9:10" x14ac:dyDescent="0.25">
      <c r="I6570" s="199"/>
      <c r="J6570" s="199"/>
    </row>
    <row r="6571" spans="9:10" x14ac:dyDescent="0.25">
      <c r="I6571" s="199"/>
      <c r="J6571" s="199"/>
    </row>
    <row r="6572" spans="9:10" x14ac:dyDescent="0.25">
      <c r="I6572" s="199"/>
      <c r="J6572" s="199"/>
    </row>
    <row r="6573" spans="9:10" x14ac:dyDescent="0.25">
      <c r="I6573" s="199"/>
      <c r="J6573" s="199"/>
    </row>
    <row r="6574" spans="9:10" x14ac:dyDescent="0.25">
      <c r="I6574" s="199"/>
      <c r="J6574" s="199"/>
    </row>
    <row r="6575" spans="9:10" x14ac:dyDescent="0.25">
      <c r="I6575" s="199"/>
      <c r="J6575" s="199"/>
    </row>
    <row r="6576" spans="9:10" x14ac:dyDescent="0.25">
      <c r="I6576" s="199"/>
      <c r="J6576" s="199"/>
    </row>
    <row r="6577" spans="9:10" x14ac:dyDescent="0.25">
      <c r="I6577" s="199"/>
      <c r="J6577" s="199"/>
    </row>
    <row r="6578" spans="9:10" x14ac:dyDescent="0.25">
      <c r="I6578" s="199"/>
      <c r="J6578" s="199"/>
    </row>
    <row r="6579" spans="9:10" x14ac:dyDescent="0.25">
      <c r="I6579" s="199"/>
      <c r="J6579" s="199"/>
    </row>
    <row r="6580" spans="9:10" x14ac:dyDescent="0.25">
      <c r="I6580" s="199"/>
      <c r="J6580" s="199"/>
    </row>
    <row r="6581" spans="9:10" x14ac:dyDescent="0.25">
      <c r="I6581" s="199"/>
      <c r="J6581" s="199"/>
    </row>
    <row r="6582" spans="9:10" x14ac:dyDescent="0.25">
      <c r="I6582" s="199"/>
      <c r="J6582" s="199"/>
    </row>
    <row r="6583" spans="9:10" x14ac:dyDescent="0.25">
      <c r="I6583" s="199"/>
      <c r="J6583" s="199"/>
    </row>
    <row r="6584" spans="9:10" x14ac:dyDescent="0.25">
      <c r="I6584" s="199"/>
      <c r="J6584" s="199"/>
    </row>
    <row r="6585" spans="9:10" x14ac:dyDescent="0.25">
      <c r="I6585" s="199"/>
      <c r="J6585" s="199"/>
    </row>
    <row r="6586" spans="9:10" x14ac:dyDescent="0.25">
      <c r="I6586" s="199"/>
      <c r="J6586" s="199"/>
    </row>
    <row r="6587" spans="9:10" x14ac:dyDescent="0.25">
      <c r="I6587" s="199"/>
      <c r="J6587" s="199"/>
    </row>
    <row r="6588" spans="9:10" x14ac:dyDescent="0.25">
      <c r="I6588" s="199"/>
      <c r="J6588" s="199"/>
    </row>
    <row r="6589" spans="9:10" x14ac:dyDescent="0.25">
      <c r="I6589" s="199"/>
      <c r="J6589" s="199"/>
    </row>
    <row r="6590" spans="9:10" x14ac:dyDescent="0.25">
      <c r="I6590" s="199"/>
      <c r="J6590" s="199"/>
    </row>
    <row r="6591" spans="9:10" x14ac:dyDescent="0.25">
      <c r="I6591" s="199"/>
      <c r="J6591" s="199"/>
    </row>
    <row r="6592" spans="9:10" x14ac:dyDescent="0.25">
      <c r="I6592" s="199"/>
      <c r="J6592" s="199"/>
    </row>
    <row r="6593" spans="9:10" x14ac:dyDescent="0.25">
      <c r="I6593" s="199"/>
      <c r="J6593" s="199"/>
    </row>
    <row r="6594" spans="9:10" x14ac:dyDescent="0.25">
      <c r="I6594" s="199"/>
      <c r="J6594" s="199"/>
    </row>
    <row r="6595" spans="9:10" x14ac:dyDescent="0.25">
      <c r="I6595" s="199"/>
      <c r="J6595" s="199"/>
    </row>
    <row r="6596" spans="9:10" x14ac:dyDescent="0.25">
      <c r="I6596" s="199"/>
      <c r="J6596" s="199"/>
    </row>
    <row r="6597" spans="9:10" x14ac:dyDescent="0.25">
      <c r="I6597" s="199"/>
      <c r="J6597" s="199"/>
    </row>
    <row r="6598" spans="9:10" x14ac:dyDescent="0.25">
      <c r="I6598" s="199"/>
      <c r="J6598" s="199"/>
    </row>
    <row r="6599" spans="9:10" x14ac:dyDescent="0.25">
      <c r="I6599" s="199"/>
      <c r="J6599" s="199"/>
    </row>
    <row r="6600" spans="9:10" x14ac:dyDescent="0.25">
      <c r="I6600" s="199"/>
      <c r="J6600" s="199"/>
    </row>
    <row r="6601" spans="9:10" x14ac:dyDescent="0.25">
      <c r="I6601" s="199"/>
      <c r="J6601" s="199"/>
    </row>
    <row r="6602" spans="9:10" x14ac:dyDescent="0.25">
      <c r="I6602" s="199"/>
      <c r="J6602" s="199"/>
    </row>
    <row r="6603" spans="9:10" x14ac:dyDescent="0.25">
      <c r="I6603" s="199"/>
      <c r="J6603" s="199"/>
    </row>
    <row r="6604" spans="9:10" x14ac:dyDescent="0.25">
      <c r="I6604" s="199"/>
      <c r="J6604" s="199"/>
    </row>
    <row r="6605" spans="9:10" x14ac:dyDescent="0.25">
      <c r="I6605" s="199"/>
      <c r="J6605" s="199"/>
    </row>
    <row r="6606" spans="9:10" x14ac:dyDescent="0.25">
      <c r="I6606" s="199"/>
      <c r="J6606" s="199"/>
    </row>
    <row r="6607" spans="9:10" x14ac:dyDescent="0.25">
      <c r="I6607" s="199"/>
      <c r="J6607" s="199"/>
    </row>
    <row r="6608" spans="9:10" x14ac:dyDescent="0.25">
      <c r="I6608" s="199"/>
      <c r="J6608" s="199"/>
    </row>
    <row r="6609" spans="9:10" x14ac:dyDescent="0.25">
      <c r="I6609" s="199"/>
      <c r="J6609" s="199"/>
    </row>
    <row r="6610" spans="9:10" x14ac:dyDescent="0.25">
      <c r="I6610" s="199"/>
      <c r="J6610" s="199"/>
    </row>
    <row r="6611" spans="9:10" x14ac:dyDescent="0.25">
      <c r="I6611" s="199"/>
      <c r="J6611" s="199"/>
    </row>
    <row r="6612" spans="9:10" x14ac:dyDescent="0.25">
      <c r="I6612" s="199"/>
      <c r="J6612" s="199"/>
    </row>
    <row r="6613" spans="9:10" x14ac:dyDescent="0.25">
      <c r="I6613" s="199"/>
      <c r="J6613" s="199"/>
    </row>
    <row r="6614" spans="9:10" x14ac:dyDescent="0.25">
      <c r="I6614" s="199"/>
      <c r="J6614" s="199"/>
    </row>
    <row r="6615" spans="9:10" x14ac:dyDescent="0.25">
      <c r="I6615" s="199"/>
      <c r="J6615" s="199"/>
    </row>
    <row r="6616" spans="9:10" x14ac:dyDescent="0.25">
      <c r="I6616" s="199"/>
      <c r="J6616" s="199"/>
    </row>
    <row r="6617" spans="9:10" x14ac:dyDescent="0.25">
      <c r="I6617" s="199"/>
      <c r="J6617" s="199"/>
    </row>
    <row r="6618" spans="9:10" x14ac:dyDescent="0.25">
      <c r="I6618" s="199"/>
      <c r="J6618" s="199"/>
    </row>
    <row r="6619" spans="9:10" x14ac:dyDescent="0.25">
      <c r="I6619" s="199"/>
      <c r="J6619" s="199"/>
    </row>
    <row r="6620" spans="9:10" x14ac:dyDescent="0.25">
      <c r="I6620" s="199"/>
      <c r="J6620" s="199"/>
    </row>
    <row r="6621" spans="9:10" x14ac:dyDescent="0.25">
      <c r="I6621" s="199"/>
      <c r="J6621" s="199"/>
    </row>
    <row r="6622" spans="9:10" x14ac:dyDescent="0.25">
      <c r="I6622" s="199"/>
      <c r="J6622" s="199"/>
    </row>
    <row r="6623" spans="9:10" x14ac:dyDescent="0.25">
      <c r="I6623" s="199"/>
      <c r="J6623" s="199"/>
    </row>
    <row r="6624" spans="9:10" x14ac:dyDescent="0.25">
      <c r="I6624" s="199"/>
      <c r="J6624" s="199"/>
    </row>
    <row r="6625" spans="9:10" x14ac:dyDescent="0.25">
      <c r="I6625" s="199"/>
      <c r="J6625" s="199"/>
    </row>
    <row r="6626" spans="9:10" x14ac:dyDescent="0.25">
      <c r="I6626" s="199"/>
      <c r="J6626" s="199"/>
    </row>
    <row r="6627" spans="9:10" x14ac:dyDescent="0.25">
      <c r="I6627" s="199"/>
      <c r="J6627" s="199"/>
    </row>
    <row r="6628" spans="9:10" x14ac:dyDescent="0.25">
      <c r="I6628" s="199"/>
      <c r="J6628" s="199"/>
    </row>
    <row r="6629" spans="9:10" x14ac:dyDescent="0.25">
      <c r="I6629" s="199"/>
      <c r="J6629" s="199"/>
    </row>
    <row r="6630" spans="9:10" x14ac:dyDescent="0.25">
      <c r="I6630" s="199"/>
      <c r="J6630" s="199"/>
    </row>
    <row r="6631" spans="9:10" x14ac:dyDescent="0.25">
      <c r="I6631" s="199"/>
      <c r="J6631" s="199"/>
    </row>
    <row r="6632" spans="9:10" x14ac:dyDescent="0.25">
      <c r="I6632" s="199"/>
      <c r="J6632" s="199"/>
    </row>
    <row r="6633" spans="9:10" x14ac:dyDescent="0.25">
      <c r="I6633" s="199"/>
      <c r="J6633" s="199"/>
    </row>
    <row r="6634" spans="9:10" x14ac:dyDescent="0.25">
      <c r="I6634" s="199"/>
      <c r="J6634" s="199"/>
    </row>
    <row r="6635" spans="9:10" x14ac:dyDescent="0.25">
      <c r="I6635" s="199"/>
      <c r="J6635" s="199"/>
    </row>
    <row r="6636" spans="9:10" x14ac:dyDescent="0.25">
      <c r="I6636" s="199"/>
      <c r="J6636" s="199"/>
    </row>
    <row r="6637" spans="9:10" x14ac:dyDescent="0.25">
      <c r="I6637" s="199"/>
      <c r="J6637" s="199"/>
    </row>
    <row r="6638" spans="9:10" x14ac:dyDescent="0.25">
      <c r="I6638" s="199"/>
      <c r="J6638" s="199"/>
    </row>
    <row r="6639" spans="9:10" x14ac:dyDescent="0.25">
      <c r="I6639" s="199"/>
      <c r="J6639" s="199"/>
    </row>
    <row r="6640" spans="9:10" x14ac:dyDescent="0.25">
      <c r="I6640" s="199"/>
      <c r="J6640" s="199"/>
    </row>
    <row r="6641" spans="9:10" x14ac:dyDescent="0.25">
      <c r="I6641" s="199"/>
      <c r="J6641" s="199"/>
    </row>
    <row r="6642" spans="9:10" x14ac:dyDescent="0.25">
      <c r="I6642" s="199"/>
      <c r="J6642" s="199"/>
    </row>
    <row r="6643" spans="9:10" x14ac:dyDescent="0.25">
      <c r="I6643" s="199"/>
      <c r="J6643" s="199"/>
    </row>
    <row r="6644" spans="9:10" x14ac:dyDescent="0.25">
      <c r="I6644" s="199"/>
      <c r="J6644" s="199"/>
    </row>
    <row r="6645" spans="9:10" x14ac:dyDescent="0.25">
      <c r="I6645" s="199"/>
      <c r="J6645" s="199"/>
    </row>
    <row r="6646" spans="9:10" x14ac:dyDescent="0.25">
      <c r="I6646" s="199"/>
      <c r="J6646" s="199"/>
    </row>
    <row r="6647" spans="9:10" x14ac:dyDescent="0.25">
      <c r="I6647" s="199"/>
      <c r="J6647" s="199"/>
    </row>
    <row r="6648" spans="9:10" x14ac:dyDescent="0.25">
      <c r="I6648" s="199"/>
      <c r="J6648" s="199"/>
    </row>
    <row r="6649" spans="9:10" x14ac:dyDescent="0.25">
      <c r="I6649" s="199"/>
      <c r="J6649" s="199"/>
    </row>
    <row r="6650" spans="9:10" x14ac:dyDescent="0.25">
      <c r="I6650" s="199"/>
      <c r="J6650" s="199"/>
    </row>
    <row r="6651" spans="9:10" x14ac:dyDescent="0.25">
      <c r="I6651" s="199"/>
      <c r="J6651" s="199"/>
    </row>
    <row r="6652" spans="9:10" x14ac:dyDescent="0.25">
      <c r="I6652" s="199"/>
      <c r="J6652" s="199"/>
    </row>
    <row r="6653" spans="9:10" x14ac:dyDescent="0.25">
      <c r="I6653" s="199"/>
      <c r="J6653" s="199"/>
    </row>
    <row r="6654" spans="9:10" x14ac:dyDescent="0.25">
      <c r="I6654" s="199"/>
      <c r="J6654" s="199"/>
    </row>
    <row r="6655" spans="9:10" x14ac:dyDescent="0.25">
      <c r="I6655" s="199"/>
      <c r="J6655" s="199"/>
    </row>
    <row r="6656" spans="9:10" x14ac:dyDescent="0.25">
      <c r="I6656" s="199"/>
      <c r="J6656" s="199"/>
    </row>
    <row r="6657" spans="9:10" x14ac:dyDescent="0.25">
      <c r="I6657" s="199"/>
      <c r="J6657" s="199"/>
    </row>
    <row r="6658" spans="9:10" x14ac:dyDescent="0.25">
      <c r="I6658" s="199"/>
      <c r="J6658" s="199"/>
    </row>
    <row r="6659" spans="9:10" x14ac:dyDescent="0.25">
      <c r="I6659" s="199"/>
      <c r="J6659" s="199"/>
    </row>
    <row r="6660" spans="9:10" x14ac:dyDescent="0.25">
      <c r="I6660" s="199"/>
      <c r="J6660" s="199"/>
    </row>
    <row r="6661" spans="9:10" x14ac:dyDescent="0.25">
      <c r="I6661" s="199"/>
      <c r="J6661" s="199"/>
    </row>
    <row r="6662" spans="9:10" x14ac:dyDescent="0.25">
      <c r="I6662" s="199"/>
      <c r="J6662" s="199"/>
    </row>
    <row r="6663" spans="9:10" x14ac:dyDescent="0.25">
      <c r="I6663" s="199"/>
      <c r="J6663" s="199"/>
    </row>
    <row r="6664" spans="9:10" x14ac:dyDescent="0.25">
      <c r="I6664" s="199"/>
      <c r="J6664" s="199"/>
    </row>
    <row r="6665" spans="9:10" x14ac:dyDescent="0.25">
      <c r="I6665" s="199"/>
      <c r="J6665" s="199"/>
    </row>
    <row r="6666" spans="9:10" x14ac:dyDescent="0.25">
      <c r="I6666" s="199"/>
      <c r="J6666" s="199"/>
    </row>
    <row r="6667" spans="9:10" x14ac:dyDescent="0.25">
      <c r="I6667" s="199"/>
      <c r="J6667" s="199"/>
    </row>
    <row r="6668" spans="9:10" x14ac:dyDescent="0.25">
      <c r="I6668" s="199"/>
      <c r="J6668" s="199"/>
    </row>
    <row r="6669" spans="9:10" x14ac:dyDescent="0.25">
      <c r="I6669" s="199"/>
      <c r="J6669" s="199"/>
    </row>
    <row r="6670" spans="9:10" x14ac:dyDescent="0.25">
      <c r="I6670" s="199"/>
      <c r="J6670" s="199"/>
    </row>
    <row r="6671" spans="9:10" x14ac:dyDescent="0.25">
      <c r="I6671" s="199"/>
      <c r="J6671" s="199"/>
    </row>
    <row r="6672" spans="9:10" x14ac:dyDescent="0.25">
      <c r="I6672" s="199"/>
      <c r="J6672" s="199"/>
    </row>
    <row r="6673" spans="9:10" x14ac:dyDescent="0.25">
      <c r="I6673" s="199"/>
      <c r="J6673" s="199"/>
    </row>
    <row r="6674" spans="9:10" x14ac:dyDescent="0.25">
      <c r="I6674" s="199"/>
      <c r="J6674" s="199"/>
    </row>
    <row r="6675" spans="9:10" x14ac:dyDescent="0.25">
      <c r="I6675" s="199"/>
      <c r="J6675" s="199"/>
    </row>
    <row r="6676" spans="9:10" x14ac:dyDescent="0.25">
      <c r="I6676" s="199"/>
      <c r="J6676" s="199"/>
    </row>
    <row r="6677" spans="9:10" x14ac:dyDescent="0.25">
      <c r="I6677" s="199"/>
      <c r="J6677" s="199"/>
    </row>
    <row r="6678" spans="9:10" x14ac:dyDescent="0.25">
      <c r="I6678" s="199"/>
      <c r="J6678" s="199"/>
    </row>
    <row r="6679" spans="9:10" x14ac:dyDescent="0.25">
      <c r="I6679" s="199"/>
      <c r="J6679" s="199"/>
    </row>
    <row r="6680" spans="9:10" x14ac:dyDescent="0.25">
      <c r="I6680" s="199"/>
      <c r="J6680" s="199"/>
    </row>
    <row r="6681" spans="9:10" x14ac:dyDescent="0.25">
      <c r="I6681" s="199"/>
      <c r="J6681" s="199"/>
    </row>
    <row r="6682" spans="9:10" x14ac:dyDescent="0.25">
      <c r="I6682" s="199"/>
      <c r="J6682" s="199"/>
    </row>
    <row r="6683" spans="9:10" x14ac:dyDescent="0.25">
      <c r="I6683" s="199"/>
      <c r="J6683" s="199"/>
    </row>
    <row r="6684" spans="9:10" x14ac:dyDescent="0.25">
      <c r="I6684" s="199"/>
      <c r="J6684" s="199"/>
    </row>
    <row r="6685" spans="9:10" x14ac:dyDescent="0.25">
      <c r="I6685" s="199"/>
      <c r="J6685" s="199"/>
    </row>
    <row r="6686" spans="9:10" x14ac:dyDescent="0.25">
      <c r="I6686" s="199"/>
      <c r="J6686" s="199"/>
    </row>
    <row r="6687" spans="9:10" x14ac:dyDescent="0.25">
      <c r="I6687" s="199"/>
      <c r="J6687" s="199"/>
    </row>
    <row r="6688" spans="9:10" x14ac:dyDescent="0.25">
      <c r="I6688" s="199"/>
      <c r="J6688" s="199"/>
    </row>
    <row r="6689" spans="9:10" x14ac:dyDescent="0.25">
      <c r="I6689" s="199"/>
      <c r="J6689" s="199"/>
    </row>
    <row r="6690" spans="9:10" x14ac:dyDescent="0.25">
      <c r="I6690" s="199"/>
      <c r="J6690" s="199"/>
    </row>
    <row r="6691" spans="9:10" x14ac:dyDescent="0.25">
      <c r="I6691" s="199"/>
      <c r="J6691" s="199"/>
    </row>
    <row r="6692" spans="9:10" x14ac:dyDescent="0.25">
      <c r="I6692" s="199"/>
      <c r="J6692" s="199"/>
    </row>
    <row r="6693" spans="9:10" x14ac:dyDescent="0.25">
      <c r="I6693" s="199"/>
      <c r="J6693" s="199"/>
    </row>
    <row r="6694" spans="9:10" x14ac:dyDescent="0.25">
      <c r="I6694" s="199"/>
      <c r="J6694" s="199"/>
    </row>
    <row r="6695" spans="9:10" x14ac:dyDescent="0.25">
      <c r="I6695" s="199"/>
      <c r="J6695" s="199"/>
    </row>
    <row r="6696" spans="9:10" x14ac:dyDescent="0.25">
      <c r="I6696" s="199"/>
      <c r="J6696" s="199"/>
    </row>
    <row r="6697" spans="9:10" x14ac:dyDescent="0.25">
      <c r="I6697" s="199"/>
      <c r="J6697" s="199"/>
    </row>
    <row r="6698" spans="9:10" x14ac:dyDescent="0.25">
      <c r="I6698" s="199"/>
      <c r="J6698" s="199"/>
    </row>
    <row r="6699" spans="9:10" x14ac:dyDescent="0.25">
      <c r="I6699" s="199"/>
      <c r="J6699" s="199"/>
    </row>
    <row r="6700" spans="9:10" x14ac:dyDescent="0.25">
      <c r="I6700" s="199"/>
      <c r="J6700" s="199"/>
    </row>
    <row r="6701" spans="9:10" x14ac:dyDescent="0.25">
      <c r="I6701" s="199"/>
      <c r="J6701" s="199"/>
    </row>
    <row r="6702" spans="9:10" x14ac:dyDescent="0.25">
      <c r="I6702" s="199"/>
      <c r="J6702" s="199"/>
    </row>
    <row r="6703" spans="9:10" x14ac:dyDescent="0.25">
      <c r="I6703" s="199"/>
      <c r="J6703" s="199"/>
    </row>
    <row r="6704" spans="9:10" x14ac:dyDescent="0.25">
      <c r="I6704" s="199"/>
      <c r="J6704" s="199"/>
    </row>
    <row r="6705" spans="9:10" x14ac:dyDescent="0.25">
      <c r="I6705" s="199"/>
      <c r="J6705" s="199"/>
    </row>
    <row r="6706" spans="9:10" x14ac:dyDescent="0.25">
      <c r="I6706" s="199"/>
      <c r="J6706" s="199"/>
    </row>
    <row r="6707" spans="9:10" x14ac:dyDescent="0.25">
      <c r="I6707" s="199"/>
      <c r="J6707" s="199"/>
    </row>
    <row r="6708" spans="9:10" x14ac:dyDescent="0.25">
      <c r="I6708" s="199"/>
      <c r="J6708" s="199"/>
    </row>
    <row r="6709" spans="9:10" x14ac:dyDescent="0.25">
      <c r="I6709" s="199"/>
      <c r="J6709" s="199"/>
    </row>
    <row r="6710" spans="9:10" x14ac:dyDescent="0.25">
      <c r="I6710" s="199"/>
      <c r="J6710" s="199"/>
    </row>
    <row r="6711" spans="9:10" x14ac:dyDescent="0.25">
      <c r="I6711" s="199"/>
      <c r="J6711" s="199"/>
    </row>
    <row r="6712" spans="9:10" x14ac:dyDescent="0.25">
      <c r="I6712" s="199"/>
      <c r="J6712" s="199"/>
    </row>
    <row r="6713" spans="9:10" x14ac:dyDescent="0.25">
      <c r="I6713" s="199"/>
      <c r="J6713" s="199"/>
    </row>
    <row r="6714" spans="9:10" x14ac:dyDescent="0.25">
      <c r="I6714" s="199"/>
      <c r="J6714" s="199"/>
    </row>
    <row r="6715" spans="9:10" x14ac:dyDescent="0.25">
      <c r="I6715" s="199"/>
      <c r="J6715" s="199"/>
    </row>
    <row r="6716" spans="9:10" x14ac:dyDescent="0.25">
      <c r="I6716" s="199"/>
      <c r="J6716" s="199"/>
    </row>
    <row r="6717" spans="9:10" x14ac:dyDescent="0.25">
      <c r="I6717" s="199"/>
      <c r="J6717" s="199"/>
    </row>
    <row r="6718" spans="9:10" x14ac:dyDescent="0.25">
      <c r="I6718" s="199"/>
      <c r="J6718" s="199"/>
    </row>
    <row r="6719" spans="9:10" x14ac:dyDescent="0.25">
      <c r="I6719" s="199"/>
      <c r="J6719" s="199"/>
    </row>
    <row r="6720" spans="9:10" x14ac:dyDescent="0.25">
      <c r="I6720" s="199"/>
      <c r="J6720" s="199"/>
    </row>
    <row r="6721" spans="9:10" x14ac:dyDescent="0.25">
      <c r="I6721" s="199"/>
      <c r="J6721" s="199"/>
    </row>
    <row r="6722" spans="9:10" x14ac:dyDescent="0.25">
      <c r="I6722" s="199"/>
      <c r="J6722" s="199"/>
    </row>
    <row r="6723" spans="9:10" x14ac:dyDescent="0.25">
      <c r="I6723" s="199"/>
      <c r="J6723" s="199"/>
    </row>
    <row r="6724" spans="9:10" x14ac:dyDescent="0.25">
      <c r="I6724" s="199"/>
      <c r="J6724" s="199"/>
    </row>
    <row r="6725" spans="9:10" x14ac:dyDescent="0.25">
      <c r="I6725" s="199"/>
      <c r="J6725" s="199"/>
    </row>
    <row r="6726" spans="9:10" x14ac:dyDescent="0.25">
      <c r="I6726" s="199"/>
      <c r="J6726" s="199"/>
    </row>
    <row r="6727" spans="9:10" x14ac:dyDescent="0.25">
      <c r="I6727" s="199"/>
      <c r="J6727" s="199"/>
    </row>
    <row r="6728" spans="9:10" x14ac:dyDescent="0.25">
      <c r="I6728" s="199"/>
      <c r="J6728" s="199"/>
    </row>
    <row r="6729" spans="9:10" x14ac:dyDescent="0.25">
      <c r="I6729" s="199"/>
      <c r="J6729" s="199"/>
    </row>
    <row r="6730" spans="9:10" x14ac:dyDescent="0.25">
      <c r="I6730" s="199"/>
      <c r="J6730" s="199"/>
    </row>
    <row r="6731" spans="9:10" x14ac:dyDescent="0.25">
      <c r="I6731" s="199"/>
      <c r="J6731" s="199"/>
    </row>
    <row r="6732" spans="9:10" x14ac:dyDescent="0.25">
      <c r="I6732" s="199"/>
      <c r="J6732" s="199"/>
    </row>
    <row r="6733" spans="9:10" x14ac:dyDescent="0.25">
      <c r="I6733" s="199"/>
      <c r="J6733" s="199"/>
    </row>
    <row r="6734" spans="9:10" x14ac:dyDescent="0.25">
      <c r="I6734" s="199"/>
      <c r="J6734" s="199"/>
    </row>
    <row r="6735" spans="9:10" x14ac:dyDescent="0.25">
      <c r="I6735" s="199"/>
      <c r="J6735" s="199"/>
    </row>
    <row r="6736" spans="9:10" x14ac:dyDescent="0.25">
      <c r="I6736" s="199"/>
      <c r="J6736" s="199"/>
    </row>
    <row r="6737" spans="9:10" x14ac:dyDescent="0.25">
      <c r="I6737" s="199"/>
      <c r="J6737" s="199"/>
    </row>
    <row r="6738" spans="9:10" x14ac:dyDescent="0.25">
      <c r="I6738" s="199"/>
      <c r="J6738" s="199"/>
    </row>
    <row r="6739" spans="9:10" x14ac:dyDescent="0.25">
      <c r="I6739" s="199"/>
      <c r="J6739" s="199"/>
    </row>
    <row r="6740" spans="9:10" x14ac:dyDescent="0.25">
      <c r="I6740" s="199"/>
      <c r="J6740" s="199"/>
    </row>
    <row r="6741" spans="9:10" x14ac:dyDescent="0.25">
      <c r="I6741" s="199"/>
      <c r="J6741" s="199"/>
    </row>
    <row r="6742" spans="9:10" x14ac:dyDescent="0.25">
      <c r="I6742" s="199"/>
      <c r="J6742" s="199"/>
    </row>
    <row r="6743" spans="9:10" x14ac:dyDescent="0.25">
      <c r="I6743" s="199"/>
      <c r="J6743" s="199"/>
    </row>
    <row r="6744" spans="9:10" x14ac:dyDescent="0.25">
      <c r="I6744" s="199"/>
      <c r="J6744" s="199"/>
    </row>
    <row r="6745" spans="9:10" x14ac:dyDescent="0.25">
      <c r="I6745" s="199"/>
      <c r="J6745" s="199"/>
    </row>
    <row r="6746" spans="9:10" x14ac:dyDescent="0.25">
      <c r="I6746" s="199"/>
      <c r="J6746" s="199"/>
    </row>
    <row r="6747" spans="9:10" x14ac:dyDescent="0.25">
      <c r="I6747" s="199"/>
      <c r="J6747" s="199"/>
    </row>
    <row r="6748" spans="9:10" x14ac:dyDescent="0.25">
      <c r="I6748" s="199"/>
      <c r="J6748" s="199"/>
    </row>
    <row r="6749" spans="9:10" x14ac:dyDescent="0.25">
      <c r="I6749" s="199"/>
      <c r="J6749" s="199"/>
    </row>
    <row r="6750" spans="9:10" x14ac:dyDescent="0.25">
      <c r="I6750" s="199"/>
      <c r="J6750" s="199"/>
    </row>
    <row r="6751" spans="9:10" x14ac:dyDescent="0.25">
      <c r="I6751" s="199"/>
      <c r="J6751" s="199"/>
    </row>
    <row r="6752" spans="9:10" x14ac:dyDescent="0.25">
      <c r="I6752" s="199"/>
      <c r="J6752" s="199"/>
    </row>
    <row r="6753" spans="9:10" x14ac:dyDescent="0.25">
      <c r="I6753" s="199"/>
      <c r="J6753" s="199"/>
    </row>
    <row r="6754" spans="9:10" x14ac:dyDescent="0.25">
      <c r="I6754" s="199"/>
      <c r="J6754" s="199"/>
    </row>
    <row r="6755" spans="9:10" x14ac:dyDescent="0.25">
      <c r="I6755" s="199"/>
      <c r="J6755" s="199"/>
    </row>
    <row r="6756" spans="9:10" x14ac:dyDescent="0.25">
      <c r="I6756" s="199"/>
      <c r="J6756" s="199"/>
    </row>
    <row r="6757" spans="9:10" x14ac:dyDescent="0.25">
      <c r="I6757" s="199"/>
      <c r="J6757" s="199"/>
    </row>
    <row r="6758" spans="9:10" x14ac:dyDescent="0.25">
      <c r="I6758" s="199"/>
      <c r="J6758" s="199"/>
    </row>
    <row r="6759" spans="9:10" x14ac:dyDescent="0.25">
      <c r="I6759" s="199"/>
      <c r="J6759" s="199"/>
    </row>
    <row r="6760" spans="9:10" x14ac:dyDescent="0.25">
      <c r="I6760" s="199"/>
      <c r="J6760" s="199"/>
    </row>
    <row r="6761" spans="9:10" x14ac:dyDescent="0.25">
      <c r="I6761" s="199"/>
      <c r="J6761" s="199"/>
    </row>
    <row r="6762" spans="9:10" x14ac:dyDescent="0.25">
      <c r="I6762" s="199"/>
      <c r="J6762" s="199"/>
    </row>
    <row r="6763" spans="9:10" x14ac:dyDescent="0.25">
      <c r="I6763" s="199"/>
      <c r="J6763" s="199"/>
    </row>
    <row r="6764" spans="9:10" x14ac:dyDescent="0.25">
      <c r="I6764" s="199"/>
      <c r="J6764" s="199"/>
    </row>
    <row r="6765" spans="9:10" x14ac:dyDescent="0.25">
      <c r="I6765" s="199"/>
      <c r="J6765" s="199"/>
    </row>
    <row r="6766" spans="9:10" x14ac:dyDescent="0.25">
      <c r="I6766" s="199"/>
      <c r="J6766" s="199"/>
    </row>
    <row r="6767" spans="9:10" x14ac:dyDescent="0.25">
      <c r="I6767" s="199"/>
      <c r="J6767" s="199"/>
    </row>
    <row r="6768" spans="9:10" x14ac:dyDescent="0.25">
      <c r="I6768" s="199"/>
      <c r="J6768" s="199"/>
    </row>
    <row r="6769" spans="9:10" x14ac:dyDescent="0.25">
      <c r="I6769" s="199"/>
      <c r="J6769" s="199"/>
    </row>
    <row r="6770" spans="9:10" x14ac:dyDescent="0.25">
      <c r="I6770" s="199"/>
      <c r="J6770" s="199"/>
    </row>
    <row r="6771" spans="9:10" x14ac:dyDescent="0.25">
      <c r="I6771" s="199"/>
      <c r="J6771" s="199"/>
    </row>
    <row r="6772" spans="9:10" x14ac:dyDescent="0.25">
      <c r="I6772" s="199"/>
      <c r="J6772" s="199"/>
    </row>
    <row r="6773" spans="9:10" x14ac:dyDescent="0.25">
      <c r="I6773" s="199"/>
      <c r="J6773" s="199"/>
    </row>
    <row r="6774" spans="9:10" x14ac:dyDescent="0.25">
      <c r="I6774" s="199"/>
      <c r="J6774" s="199"/>
    </row>
    <row r="6775" spans="9:10" x14ac:dyDescent="0.25">
      <c r="I6775" s="199"/>
      <c r="J6775" s="199"/>
    </row>
    <row r="6776" spans="9:10" x14ac:dyDescent="0.25">
      <c r="I6776" s="199"/>
      <c r="J6776" s="199"/>
    </row>
    <row r="6777" spans="9:10" x14ac:dyDescent="0.25">
      <c r="I6777" s="199"/>
      <c r="J6777" s="199"/>
    </row>
    <row r="6778" spans="9:10" x14ac:dyDescent="0.25">
      <c r="I6778" s="199"/>
      <c r="J6778" s="199"/>
    </row>
    <row r="6779" spans="9:10" x14ac:dyDescent="0.25">
      <c r="I6779" s="199"/>
      <c r="J6779" s="199"/>
    </row>
    <row r="6780" spans="9:10" x14ac:dyDescent="0.25">
      <c r="I6780" s="199"/>
      <c r="J6780" s="199"/>
    </row>
    <row r="6781" spans="9:10" x14ac:dyDescent="0.25">
      <c r="I6781" s="199"/>
      <c r="J6781" s="199"/>
    </row>
    <row r="6782" spans="9:10" x14ac:dyDescent="0.25">
      <c r="I6782" s="199"/>
      <c r="J6782" s="199"/>
    </row>
    <row r="6783" spans="9:10" x14ac:dyDescent="0.25">
      <c r="I6783" s="199"/>
      <c r="J6783" s="199"/>
    </row>
    <row r="6784" spans="9:10" x14ac:dyDescent="0.25">
      <c r="I6784" s="199"/>
      <c r="J6784" s="199"/>
    </row>
    <row r="6785" spans="9:10" x14ac:dyDescent="0.25">
      <c r="I6785" s="199"/>
      <c r="J6785" s="199"/>
    </row>
    <row r="6786" spans="9:10" x14ac:dyDescent="0.25">
      <c r="I6786" s="199"/>
      <c r="J6786" s="199"/>
    </row>
    <row r="6787" spans="9:10" x14ac:dyDescent="0.25">
      <c r="I6787" s="199"/>
      <c r="J6787" s="199"/>
    </row>
    <row r="6788" spans="9:10" x14ac:dyDescent="0.25">
      <c r="I6788" s="199"/>
      <c r="J6788" s="199"/>
    </row>
    <row r="6789" spans="9:10" x14ac:dyDescent="0.25">
      <c r="I6789" s="199"/>
      <c r="J6789" s="199"/>
    </row>
    <row r="6790" spans="9:10" x14ac:dyDescent="0.25">
      <c r="I6790" s="199"/>
      <c r="J6790" s="199"/>
    </row>
    <row r="6791" spans="9:10" x14ac:dyDescent="0.25">
      <c r="I6791" s="199"/>
      <c r="J6791" s="199"/>
    </row>
    <row r="6792" spans="9:10" x14ac:dyDescent="0.25">
      <c r="I6792" s="199"/>
      <c r="J6792" s="199"/>
    </row>
    <row r="6793" spans="9:10" x14ac:dyDescent="0.25">
      <c r="I6793" s="199"/>
      <c r="J6793" s="199"/>
    </row>
    <row r="6794" spans="9:10" x14ac:dyDescent="0.25">
      <c r="I6794" s="199"/>
      <c r="J6794" s="199"/>
    </row>
    <row r="6795" spans="9:10" x14ac:dyDescent="0.25">
      <c r="I6795" s="199"/>
      <c r="J6795" s="199"/>
    </row>
    <row r="6796" spans="9:10" x14ac:dyDescent="0.25">
      <c r="I6796" s="199"/>
      <c r="J6796" s="199"/>
    </row>
    <row r="6797" spans="9:10" x14ac:dyDescent="0.25">
      <c r="I6797" s="199"/>
      <c r="J6797" s="199"/>
    </row>
    <row r="6798" spans="9:10" x14ac:dyDescent="0.25">
      <c r="I6798" s="199"/>
      <c r="J6798" s="199"/>
    </row>
    <row r="6799" spans="9:10" x14ac:dyDescent="0.25">
      <c r="I6799" s="199"/>
      <c r="J6799" s="199"/>
    </row>
    <row r="6800" spans="9:10" x14ac:dyDescent="0.25">
      <c r="I6800" s="199"/>
      <c r="J6800" s="199"/>
    </row>
    <row r="6801" spans="9:10" x14ac:dyDescent="0.25">
      <c r="I6801" s="199"/>
      <c r="J6801" s="199"/>
    </row>
    <row r="6802" spans="9:10" x14ac:dyDescent="0.25">
      <c r="I6802" s="199"/>
      <c r="J6802" s="199"/>
    </row>
    <row r="6803" spans="9:10" x14ac:dyDescent="0.25">
      <c r="I6803" s="199"/>
      <c r="J6803" s="199"/>
    </row>
    <row r="6804" spans="9:10" x14ac:dyDescent="0.25">
      <c r="I6804" s="199"/>
      <c r="J6804" s="199"/>
    </row>
    <row r="6805" spans="9:10" x14ac:dyDescent="0.25">
      <c r="I6805" s="199"/>
      <c r="J6805" s="199"/>
    </row>
    <row r="6806" spans="9:10" x14ac:dyDescent="0.25">
      <c r="I6806" s="199"/>
      <c r="J6806" s="199"/>
    </row>
    <row r="6807" spans="9:10" x14ac:dyDescent="0.25">
      <c r="I6807" s="199"/>
      <c r="J6807" s="199"/>
    </row>
    <row r="6808" spans="9:10" x14ac:dyDescent="0.25">
      <c r="I6808" s="199"/>
      <c r="J6808" s="199"/>
    </row>
    <row r="6809" spans="9:10" x14ac:dyDescent="0.25">
      <c r="I6809" s="199"/>
      <c r="J6809" s="199"/>
    </row>
    <row r="6810" spans="9:10" x14ac:dyDescent="0.25">
      <c r="I6810" s="199"/>
      <c r="J6810" s="199"/>
    </row>
    <row r="6811" spans="9:10" x14ac:dyDescent="0.25">
      <c r="I6811" s="199"/>
      <c r="J6811" s="199"/>
    </row>
    <row r="6812" spans="9:10" x14ac:dyDescent="0.25">
      <c r="I6812" s="199"/>
      <c r="J6812" s="199"/>
    </row>
    <row r="6813" spans="9:10" x14ac:dyDescent="0.25">
      <c r="I6813" s="199"/>
      <c r="J6813" s="199"/>
    </row>
    <row r="6814" spans="9:10" x14ac:dyDescent="0.25">
      <c r="I6814" s="199"/>
      <c r="J6814" s="199"/>
    </row>
    <row r="6815" spans="9:10" x14ac:dyDescent="0.25">
      <c r="I6815" s="199"/>
      <c r="J6815" s="199"/>
    </row>
    <row r="6816" spans="9:10" x14ac:dyDescent="0.25">
      <c r="I6816" s="199"/>
      <c r="J6816" s="199"/>
    </row>
    <row r="6817" spans="9:10" x14ac:dyDescent="0.25">
      <c r="I6817" s="199"/>
      <c r="J6817" s="199"/>
    </row>
    <row r="6818" spans="9:10" x14ac:dyDescent="0.25">
      <c r="I6818" s="199"/>
      <c r="J6818" s="199"/>
    </row>
    <row r="6819" spans="9:10" x14ac:dyDescent="0.25">
      <c r="I6819" s="199"/>
      <c r="J6819" s="199"/>
    </row>
    <row r="6820" spans="9:10" x14ac:dyDescent="0.25">
      <c r="I6820" s="199"/>
      <c r="J6820" s="199"/>
    </row>
    <row r="6821" spans="9:10" x14ac:dyDescent="0.25">
      <c r="I6821" s="199"/>
      <c r="J6821" s="199"/>
    </row>
    <row r="6822" spans="9:10" x14ac:dyDescent="0.25">
      <c r="I6822" s="199"/>
      <c r="J6822" s="199"/>
    </row>
    <row r="6823" spans="9:10" x14ac:dyDescent="0.25">
      <c r="I6823" s="199"/>
      <c r="J6823" s="199"/>
    </row>
    <row r="6824" spans="9:10" x14ac:dyDescent="0.25">
      <c r="I6824" s="199"/>
      <c r="J6824" s="199"/>
    </row>
    <row r="6825" spans="9:10" x14ac:dyDescent="0.25">
      <c r="I6825" s="199"/>
      <c r="J6825" s="199"/>
    </row>
    <row r="6826" spans="9:10" x14ac:dyDescent="0.25">
      <c r="I6826" s="199"/>
      <c r="J6826" s="199"/>
    </row>
    <row r="6827" spans="9:10" x14ac:dyDescent="0.25">
      <c r="I6827" s="199"/>
      <c r="J6827" s="199"/>
    </row>
    <row r="6828" spans="9:10" x14ac:dyDescent="0.25">
      <c r="I6828" s="199"/>
      <c r="J6828" s="199"/>
    </row>
    <row r="6829" spans="9:10" x14ac:dyDescent="0.25">
      <c r="I6829" s="199"/>
      <c r="J6829" s="199"/>
    </row>
    <row r="6830" spans="9:10" x14ac:dyDescent="0.25">
      <c r="I6830" s="199"/>
      <c r="J6830" s="199"/>
    </row>
    <row r="6831" spans="9:10" x14ac:dyDescent="0.25">
      <c r="I6831" s="199"/>
      <c r="J6831" s="199"/>
    </row>
    <row r="6832" spans="9:10" x14ac:dyDescent="0.25">
      <c r="I6832" s="199"/>
      <c r="J6832" s="199"/>
    </row>
    <row r="6833" spans="9:10" x14ac:dyDescent="0.25">
      <c r="I6833" s="199"/>
      <c r="J6833" s="199"/>
    </row>
    <row r="6834" spans="9:10" x14ac:dyDescent="0.25">
      <c r="I6834" s="199"/>
      <c r="J6834" s="199"/>
    </row>
    <row r="6835" spans="9:10" x14ac:dyDescent="0.25">
      <c r="I6835" s="199"/>
      <c r="J6835" s="199"/>
    </row>
    <row r="6836" spans="9:10" x14ac:dyDescent="0.25">
      <c r="I6836" s="199"/>
      <c r="J6836" s="199"/>
    </row>
    <row r="6837" spans="9:10" x14ac:dyDescent="0.25">
      <c r="I6837" s="199"/>
      <c r="J6837" s="199"/>
    </row>
    <row r="6838" spans="9:10" x14ac:dyDescent="0.25">
      <c r="I6838" s="199"/>
      <c r="J6838" s="199"/>
    </row>
    <row r="6839" spans="9:10" x14ac:dyDescent="0.25">
      <c r="I6839" s="199"/>
      <c r="J6839" s="199"/>
    </row>
    <row r="6840" spans="9:10" x14ac:dyDescent="0.25">
      <c r="I6840" s="199"/>
      <c r="J6840" s="199"/>
    </row>
    <row r="6841" spans="9:10" x14ac:dyDescent="0.25">
      <c r="I6841" s="199"/>
      <c r="J6841" s="199"/>
    </row>
    <row r="6842" spans="9:10" x14ac:dyDescent="0.25">
      <c r="I6842" s="199"/>
      <c r="J6842" s="199"/>
    </row>
    <row r="6843" spans="9:10" x14ac:dyDescent="0.25">
      <c r="I6843" s="199"/>
      <c r="J6843" s="199"/>
    </row>
    <row r="6844" spans="9:10" x14ac:dyDescent="0.25">
      <c r="I6844" s="199"/>
      <c r="J6844" s="199"/>
    </row>
    <row r="6845" spans="9:10" x14ac:dyDescent="0.25">
      <c r="I6845" s="199"/>
      <c r="J6845" s="199"/>
    </row>
    <row r="6846" spans="9:10" x14ac:dyDescent="0.25">
      <c r="I6846" s="199"/>
      <c r="J6846" s="199"/>
    </row>
    <row r="6847" spans="9:10" x14ac:dyDescent="0.25">
      <c r="I6847" s="199"/>
      <c r="J6847" s="199"/>
    </row>
    <row r="6848" spans="9:10" x14ac:dyDescent="0.25">
      <c r="I6848" s="199"/>
      <c r="J6848" s="199"/>
    </row>
    <row r="6849" spans="9:10" x14ac:dyDescent="0.25">
      <c r="I6849" s="199"/>
      <c r="J6849" s="199"/>
    </row>
    <row r="6850" spans="9:10" x14ac:dyDescent="0.25">
      <c r="I6850" s="199"/>
      <c r="J6850" s="199"/>
    </row>
    <row r="6851" spans="9:10" x14ac:dyDescent="0.25">
      <c r="I6851" s="199"/>
      <c r="J6851" s="199"/>
    </row>
    <row r="6852" spans="9:10" x14ac:dyDescent="0.25">
      <c r="I6852" s="199"/>
      <c r="J6852" s="199"/>
    </row>
    <row r="6853" spans="9:10" x14ac:dyDescent="0.25">
      <c r="I6853" s="199"/>
      <c r="J6853" s="199"/>
    </row>
    <row r="6854" spans="9:10" x14ac:dyDescent="0.25">
      <c r="I6854" s="199"/>
      <c r="J6854" s="199"/>
    </row>
    <row r="6855" spans="9:10" x14ac:dyDescent="0.25">
      <c r="I6855" s="199"/>
      <c r="J6855" s="199"/>
    </row>
    <row r="6856" spans="9:10" x14ac:dyDescent="0.25">
      <c r="I6856" s="199"/>
      <c r="J6856" s="199"/>
    </row>
    <row r="6857" spans="9:10" x14ac:dyDescent="0.25">
      <c r="I6857" s="199"/>
      <c r="J6857" s="199"/>
    </row>
    <row r="6858" spans="9:10" x14ac:dyDescent="0.25">
      <c r="I6858" s="199"/>
      <c r="J6858" s="199"/>
    </row>
    <row r="6859" spans="9:10" x14ac:dyDescent="0.25">
      <c r="I6859" s="199"/>
      <c r="J6859" s="199"/>
    </row>
    <row r="6860" spans="9:10" x14ac:dyDescent="0.25">
      <c r="I6860" s="199"/>
      <c r="J6860" s="199"/>
    </row>
    <row r="6861" spans="9:10" x14ac:dyDescent="0.25">
      <c r="I6861" s="199"/>
      <c r="J6861" s="199"/>
    </row>
    <row r="6862" spans="9:10" x14ac:dyDescent="0.25">
      <c r="I6862" s="199"/>
      <c r="J6862" s="199"/>
    </row>
    <row r="6863" spans="9:10" x14ac:dyDescent="0.25">
      <c r="I6863" s="199"/>
      <c r="J6863" s="199"/>
    </row>
    <row r="6864" spans="9:10" x14ac:dyDescent="0.25">
      <c r="I6864" s="199"/>
      <c r="J6864" s="199"/>
    </row>
    <row r="6865" spans="9:10" x14ac:dyDescent="0.25">
      <c r="I6865" s="199"/>
      <c r="J6865" s="199"/>
    </row>
    <row r="6866" spans="9:10" x14ac:dyDescent="0.25">
      <c r="I6866" s="199"/>
      <c r="J6866" s="199"/>
    </row>
    <row r="6867" spans="9:10" x14ac:dyDescent="0.25">
      <c r="I6867" s="199"/>
      <c r="J6867" s="199"/>
    </row>
    <row r="6868" spans="9:10" x14ac:dyDescent="0.25">
      <c r="I6868" s="199"/>
      <c r="J6868" s="199"/>
    </row>
    <row r="6869" spans="9:10" x14ac:dyDescent="0.25">
      <c r="I6869" s="199"/>
      <c r="J6869" s="199"/>
    </row>
    <row r="6870" spans="9:10" x14ac:dyDescent="0.25">
      <c r="I6870" s="199"/>
      <c r="J6870" s="199"/>
    </row>
    <row r="6871" spans="9:10" x14ac:dyDescent="0.25">
      <c r="I6871" s="199"/>
      <c r="J6871" s="199"/>
    </row>
    <row r="6872" spans="9:10" x14ac:dyDescent="0.25">
      <c r="I6872" s="199"/>
      <c r="J6872" s="199"/>
    </row>
    <row r="6873" spans="9:10" x14ac:dyDescent="0.25">
      <c r="I6873" s="199"/>
      <c r="J6873" s="199"/>
    </row>
    <row r="6874" spans="9:10" x14ac:dyDescent="0.25">
      <c r="I6874" s="199"/>
      <c r="J6874" s="199"/>
    </row>
    <row r="6875" spans="9:10" x14ac:dyDescent="0.25">
      <c r="I6875" s="199"/>
      <c r="J6875" s="199"/>
    </row>
    <row r="6876" spans="9:10" x14ac:dyDescent="0.25">
      <c r="I6876" s="199"/>
      <c r="J6876" s="199"/>
    </row>
    <row r="6877" spans="9:10" x14ac:dyDescent="0.25">
      <c r="I6877" s="199"/>
      <c r="J6877" s="199"/>
    </row>
    <row r="6878" spans="9:10" x14ac:dyDescent="0.25">
      <c r="I6878" s="199"/>
      <c r="J6878" s="199"/>
    </row>
    <row r="6879" spans="9:10" x14ac:dyDescent="0.25">
      <c r="I6879" s="199"/>
      <c r="J6879" s="199"/>
    </row>
    <row r="6880" spans="9:10" x14ac:dyDescent="0.25">
      <c r="I6880" s="199"/>
      <c r="J6880" s="199"/>
    </row>
    <row r="6881" spans="9:10" x14ac:dyDescent="0.25">
      <c r="I6881" s="199"/>
      <c r="J6881" s="199"/>
    </row>
    <row r="6882" spans="9:10" x14ac:dyDescent="0.25">
      <c r="I6882" s="199"/>
      <c r="J6882" s="199"/>
    </row>
    <row r="6883" spans="9:10" x14ac:dyDescent="0.25">
      <c r="I6883" s="199"/>
      <c r="J6883" s="199"/>
    </row>
    <row r="6884" spans="9:10" x14ac:dyDescent="0.25">
      <c r="I6884" s="199"/>
      <c r="J6884" s="199"/>
    </row>
    <row r="6885" spans="9:10" x14ac:dyDescent="0.25">
      <c r="I6885" s="199"/>
      <c r="J6885" s="199"/>
    </row>
    <row r="6886" spans="9:10" x14ac:dyDescent="0.25">
      <c r="I6886" s="199"/>
      <c r="J6886" s="199"/>
    </row>
    <row r="6887" spans="9:10" x14ac:dyDescent="0.25">
      <c r="I6887" s="199"/>
      <c r="J6887" s="199"/>
    </row>
    <row r="6888" spans="9:10" x14ac:dyDescent="0.25">
      <c r="I6888" s="199"/>
      <c r="J6888" s="199"/>
    </row>
    <row r="6889" spans="9:10" x14ac:dyDescent="0.25">
      <c r="I6889" s="199"/>
      <c r="J6889" s="199"/>
    </row>
    <row r="6890" spans="9:10" x14ac:dyDescent="0.25">
      <c r="I6890" s="199"/>
      <c r="J6890" s="199"/>
    </row>
    <row r="6891" spans="9:10" x14ac:dyDescent="0.25">
      <c r="I6891" s="199"/>
      <c r="J6891" s="199"/>
    </row>
    <row r="6892" spans="9:10" x14ac:dyDescent="0.25">
      <c r="I6892" s="199"/>
      <c r="J6892" s="199"/>
    </row>
    <row r="6893" spans="9:10" x14ac:dyDescent="0.25">
      <c r="I6893" s="199"/>
      <c r="J6893" s="199"/>
    </row>
    <row r="6894" spans="9:10" x14ac:dyDescent="0.25">
      <c r="I6894" s="199"/>
      <c r="J6894" s="199"/>
    </row>
    <row r="6895" spans="9:10" x14ac:dyDescent="0.25">
      <c r="I6895" s="199"/>
      <c r="J6895" s="199"/>
    </row>
    <row r="6896" spans="9:10" x14ac:dyDescent="0.25">
      <c r="I6896" s="199"/>
      <c r="J6896" s="199"/>
    </row>
    <row r="6897" spans="9:10" x14ac:dyDescent="0.25">
      <c r="I6897" s="199"/>
      <c r="J6897" s="199"/>
    </row>
    <row r="6898" spans="9:10" x14ac:dyDescent="0.25">
      <c r="I6898" s="199"/>
      <c r="J6898" s="199"/>
    </row>
    <row r="6899" spans="9:10" x14ac:dyDescent="0.25">
      <c r="I6899" s="199"/>
      <c r="J6899" s="199"/>
    </row>
    <row r="6900" spans="9:10" x14ac:dyDescent="0.25">
      <c r="I6900" s="199"/>
      <c r="J6900" s="199"/>
    </row>
    <row r="6901" spans="9:10" x14ac:dyDescent="0.25">
      <c r="I6901" s="199"/>
      <c r="J6901" s="199"/>
    </row>
    <row r="6902" spans="9:10" x14ac:dyDescent="0.25">
      <c r="I6902" s="199"/>
      <c r="J6902" s="199"/>
    </row>
    <row r="6903" spans="9:10" x14ac:dyDescent="0.25">
      <c r="I6903" s="199"/>
      <c r="J6903" s="199"/>
    </row>
    <row r="6904" spans="9:10" x14ac:dyDescent="0.25">
      <c r="I6904" s="199"/>
      <c r="J6904" s="199"/>
    </row>
    <row r="6905" spans="9:10" x14ac:dyDescent="0.25">
      <c r="I6905" s="199"/>
      <c r="J6905" s="199"/>
    </row>
    <row r="6906" spans="9:10" x14ac:dyDescent="0.25">
      <c r="I6906" s="199"/>
      <c r="J6906" s="199"/>
    </row>
    <row r="6907" spans="9:10" x14ac:dyDescent="0.25">
      <c r="I6907" s="199"/>
      <c r="J6907" s="199"/>
    </row>
    <row r="6908" spans="9:10" x14ac:dyDescent="0.25">
      <c r="I6908" s="199"/>
      <c r="J6908" s="199"/>
    </row>
    <row r="6909" spans="9:10" x14ac:dyDescent="0.25">
      <c r="I6909" s="199"/>
      <c r="J6909" s="199"/>
    </row>
    <row r="6910" spans="9:10" x14ac:dyDescent="0.25">
      <c r="I6910" s="199"/>
      <c r="J6910" s="199"/>
    </row>
    <row r="6911" spans="9:10" x14ac:dyDescent="0.25">
      <c r="I6911" s="199"/>
      <c r="J6911" s="199"/>
    </row>
    <row r="6912" spans="9:10" x14ac:dyDescent="0.25">
      <c r="I6912" s="199"/>
      <c r="J6912" s="199"/>
    </row>
    <row r="6913" spans="9:10" x14ac:dyDescent="0.25">
      <c r="I6913" s="199"/>
      <c r="J6913" s="199"/>
    </row>
    <row r="6914" spans="9:10" x14ac:dyDescent="0.25">
      <c r="I6914" s="199"/>
      <c r="J6914" s="199"/>
    </row>
    <row r="6915" spans="9:10" x14ac:dyDescent="0.25">
      <c r="I6915" s="199"/>
      <c r="J6915" s="199"/>
    </row>
    <row r="6916" spans="9:10" x14ac:dyDescent="0.25">
      <c r="I6916" s="199"/>
      <c r="J6916" s="199"/>
    </row>
    <row r="6917" spans="9:10" x14ac:dyDescent="0.25">
      <c r="I6917" s="199"/>
      <c r="J6917" s="199"/>
    </row>
    <row r="6918" spans="9:10" x14ac:dyDescent="0.25">
      <c r="I6918" s="199"/>
      <c r="J6918" s="199"/>
    </row>
    <row r="6919" spans="9:10" x14ac:dyDescent="0.25">
      <c r="I6919" s="199"/>
      <c r="J6919" s="199"/>
    </row>
    <row r="6920" spans="9:10" x14ac:dyDescent="0.25">
      <c r="I6920" s="199"/>
      <c r="J6920" s="199"/>
    </row>
    <row r="6921" spans="9:10" x14ac:dyDescent="0.25">
      <c r="I6921" s="199"/>
      <c r="J6921" s="199"/>
    </row>
    <row r="6922" spans="9:10" x14ac:dyDescent="0.25">
      <c r="I6922" s="199"/>
      <c r="J6922" s="199"/>
    </row>
    <row r="6923" spans="9:10" x14ac:dyDescent="0.25">
      <c r="I6923" s="199"/>
      <c r="J6923" s="199"/>
    </row>
    <row r="6924" spans="9:10" x14ac:dyDescent="0.25">
      <c r="I6924" s="199"/>
      <c r="J6924" s="199"/>
    </row>
    <row r="6925" spans="9:10" x14ac:dyDescent="0.25">
      <c r="I6925" s="199"/>
      <c r="J6925" s="199"/>
    </row>
    <row r="6926" spans="9:10" x14ac:dyDescent="0.25">
      <c r="I6926" s="199"/>
      <c r="J6926" s="199"/>
    </row>
    <row r="6927" spans="9:10" x14ac:dyDescent="0.25">
      <c r="I6927" s="199"/>
      <c r="J6927" s="199"/>
    </row>
    <row r="6928" spans="9:10" x14ac:dyDescent="0.25">
      <c r="I6928" s="199"/>
      <c r="J6928" s="199"/>
    </row>
    <row r="6929" spans="9:10" x14ac:dyDescent="0.25">
      <c r="I6929" s="199"/>
      <c r="J6929" s="199"/>
    </row>
    <row r="6930" spans="9:10" x14ac:dyDescent="0.25">
      <c r="I6930" s="199"/>
      <c r="J6930" s="199"/>
    </row>
    <row r="6931" spans="9:10" x14ac:dyDescent="0.25">
      <c r="I6931" s="199"/>
      <c r="J6931" s="199"/>
    </row>
    <row r="6932" spans="9:10" x14ac:dyDescent="0.25">
      <c r="I6932" s="199"/>
      <c r="J6932" s="199"/>
    </row>
    <row r="6933" spans="9:10" x14ac:dyDescent="0.25">
      <c r="I6933" s="199"/>
      <c r="J6933" s="199"/>
    </row>
    <row r="6934" spans="9:10" x14ac:dyDescent="0.25">
      <c r="I6934" s="199"/>
      <c r="J6934" s="199"/>
    </row>
    <row r="6935" spans="9:10" x14ac:dyDescent="0.25">
      <c r="I6935" s="199"/>
      <c r="J6935" s="199"/>
    </row>
    <row r="6936" spans="9:10" x14ac:dyDescent="0.25">
      <c r="I6936" s="199"/>
      <c r="J6936" s="199"/>
    </row>
    <row r="6937" spans="9:10" x14ac:dyDescent="0.25">
      <c r="I6937" s="199"/>
      <c r="J6937" s="199"/>
    </row>
    <row r="6938" spans="9:10" x14ac:dyDescent="0.25">
      <c r="I6938" s="199"/>
      <c r="J6938" s="199"/>
    </row>
    <row r="6939" spans="9:10" x14ac:dyDescent="0.25">
      <c r="I6939" s="199"/>
      <c r="J6939" s="199"/>
    </row>
    <row r="6940" spans="9:10" x14ac:dyDescent="0.25">
      <c r="I6940" s="199"/>
      <c r="J6940" s="199"/>
    </row>
    <row r="6941" spans="9:10" x14ac:dyDescent="0.25">
      <c r="I6941" s="199"/>
      <c r="J6941" s="199"/>
    </row>
    <row r="6942" spans="9:10" x14ac:dyDescent="0.25">
      <c r="I6942" s="199"/>
      <c r="J6942" s="199"/>
    </row>
    <row r="6943" spans="9:10" x14ac:dyDescent="0.25">
      <c r="I6943" s="199"/>
      <c r="J6943" s="199"/>
    </row>
    <row r="6944" spans="9:10" x14ac:dyDescent="0.25">
      <c r="I6944" s="199"/>
      <c r="J6944" s="199"/>
    </row>
    <row r="6945" spans="9:10" x14ac:dyDescent="0.25">
      <c r="I6945" s="199"/>
      <c r="J6945" s="199"/>
    </row>
    <row r="6946" spans="9:10" x14ac:dyDescent="0.25">
      <c r="I6946" s="199"/>
      <c r="J6946" s="199"/>
    </row>
    <row r="6947" spans="9:10" x14ac:dyDescent="0.25">
      <c r="I6947" s="199"/>
      <c r="J6947" s="199"/>
    </row>
    <row r="6948" spans="9:10" x14ac:dyDescent="0.25">
      <c r="I6948" s="199"/>
      <c r="J6948" s="199"/>
    </row>
    <row r="6949" spans="9:10" x14ac:dyDescent="0.25">
      <c r="I6949" s="199"/>
      <c r="J6949" s="199"/>
    </row>
    <row r="6950" spans="9:10" x14ac:dyDescent="0.25">
      <c r="I6950" s="199"/>
      <c r="J6950" s="199"/>
    </row>
    <row r="6951" spans="9:10" x14ac:dyDescent="0.25">
      <c r="I6951" s="199"/>
      <c r="J6951" s="199"/>
    </row>
    <row r="6952" spans="9:10" x14ac:dyDescent="0.25">
      <c r="I6952" s="199"/>
      <c r="J6952" s="199"/>
    </row>
    <row r="6953" spans="9:10" x14ac:dyDescent="0.25">
      <c r="I6953" s="199"/>
      <c r="J6953" s="199"/>
    </row>
    <row r="6954" spans="9:10" x14ac:dyDescent="0.25">
      <c r="I6954" s="199"/>
      <c r="J6954" s="199"/>
    </row>
    <row r="6955" spans="9:10" x14ac:dyDescent="0.25">
      <c r="I6955" s="199"/>
      <c r="J6955" s="199"/>
    </row>
    <row r="6956" spans="9:10" x14ac:dyDescent="0.25">
      <c r="I6956" s="199"/>
      <c r="J6956" s="199"/>
    </row>
    <row r="6957" spans="9:10" x14ac:dyDescent="0.25">
      <c r="I6957" s="199"/>
      <c r="J6957" s="199"/>
    </row>
    <row r="6958" spans="9:10" x14ac:dyDescent="0.25">
      <c r="I6958" s="199"/>
      <c r="J6958" s="199"/>
    </row>
    <row r="6959" spans="9:10" x14ac:dyDescent="0.25">
      <c r="I6959" s="199"/>
      <c r="J6959" s="199"/>
    </row>
    <row r="6960" spans="9:10" x14ac:dyDescent="0.25">
      <c r="I6960" s="199"/>
      <c r="J6960" s="199"/>
    </row>
    <row r="6961" spans="9:10" x14ac:dyDescent="0.25">
      <c r="I6961" s="199"/>
      <c r="J6961" s="199"/>
    </row>
    <row r="6962" spans="9:10" x14ac:dyDescent="0.25">
      <c r="I6962" s="199"/>
      <c r="J6962" s="199"/>
    </row>
    <row r="6963" spans="9:10" x14ac:dyDescent="0.25">
      <c r="I6963" s="199"/>
      <c r="J6963" s="199"/>
    </row>
    <row r="6964" spans="9:10" x14ac:dyDescent="0.25">
      <c r="I6964" s="199"/>
      <c r="J6964" s="199"/>
    </row>
    <row r="6965" spans="9:10" x14ac:dyDescent="0.25">
      <c r="I6965" s="199"/>
      <c r="J6965" s="199"/>
    </row>
    <row r="6966" spans="9:10" x14ac:dyDescent="0.25">
      <c r="I6966" s="199"/>
      <c r="J6966" s="199"/>
    </row>
    <row r="6967" spans="9:10" x14ac:dyDescent="0.25">
      <c r="I6967" s="199"/>
      <c r="J6967" s="199"/>
    </row>
    <row r="6968" spans="9:10" x14ac:dyDescent="0.25">
      <c r="I6968" s="199"/>
      <c r="J6968" s="199"/>
    </row>
    <row r="6969" spans="9:10" x14ac:dyDescent="0.25">
      <c r="I6969" s="199"/>
      <c r="J6969" s="199"/>
    </row>
    <row r="6970" spans="9:10" x14ac:dyDescent="0.25">
      <c r="I6970" s="199"/>
      <c r="J6970" s="199"/>
    </row>
    <row r="6971" spans="9:10" x14ac:dyDescent="0.25">
      <c r="I6971" s="199"/>
      <c r="J6971" s="199"/>
    </row>
    <row r="6972" spans="9:10" x14ac:dyDescent="0.25">
      <c r="I6972" s="199"/>
      <c r="J6972" s="199"/>
    </row>
    <row r="6973" spans="9:10" x14ac:dyDescent="0.25">
      <c r="I6973" s="199"/>
      <c r="J6973" s="199"/>
    </row>
    <row r="6974" spans="9:10" x14ac:dyDescent="0.25">
      <c r="I6974" s="199"/>
      <c r="J6974" s="199"/>
    </row>
    <row r="6975" spans="9:10" x14ac:dyDescent="0.25">
      <c r="I6975" s="199"/>
      <c r="J6975" s="199"/>
    </row>
    <row r="6976" spans="9:10" x14ac:dyDescent="0.25">
      <c r="I6976" s="199"/>
      <c r="J6976" s="199"/>
    </row>
    <row r="6977" spans="9:10" x14ac:dyDescent="0.25">
      <c r="I6977" s="199"/>
      <c r="J6977" s="199"/>
    </row>
    <row r="6978" spans="9:10" x14ac:dyDescent="0.25">
      <c r="I6978" s="199"/>
      <c r="J6978" s="199"/>
    </row>
    <row r="6979" spans="9:10" x14ac:dyDescent="0.25">
      <c r="I6979" s="199"/>
      <c r="J6979" s="199"/>
    </row>
    <row r="6980" spans="9:10" x14ac:dyDescent="0.25">
      <c r="I6980" s="199"/>
      <c r="J6980" s="199"/>
    </row>
    <row r="6981" spans="9:10" x14ac:dyDescent="0.25">
      <c r="I6981" s="199"/>
      <c r="J6981" s="199"/>
    </row>
    <row r="6982" spans="9:10" x14ac:dyDescent="0.25">
      <c r="I6982" s="199"/>
      <c r="J6982" s="199"/>
    </row>
    <row r="6983" spans="9:10" x14ac:dyDescent="0.25">
      <c r="I6983" s="199"/>
      <c r="J6983" s="199"/>
    </row>
    <row r="6984" spans="9:10" x14ac:dyDescent="0.25">
      <c r="I6984" s="199"/>
      <c r="J6984" s="199"/>
    </row>
    <row r="6985" spans="9:10" x14ac:dyDescent="0.25">
      <c r="I6985" s="199"/>
      <c r="J6985" s="199"/>
    </row>
    <row r="6986" spans="9:10" x14ac:dyDescent="0.25">
      <c r="I6986" s="199"/>
      <c r="J6986" s="199"/>
    </row>
    <row r="6987" spans="9:10" x14ac:dyDescent="0.25">
      <c r="I6987" s="199"/>
      <c r="J6987" s="199"/>
    </row>
    <row r="6988" spans="9:10" x14ac:dyDescent="0.25">
      <c r="I6988" s="199"/>
      <c r="J6988" s="199"/>
    </row>
    <row r="6989" spans="9:10" x14ac:dyDescent="0.25">
      <c r="I6989" s="199"/>
      <c r="J6989" s="199"/>
    </row>
    <row r="6990" spans="9:10" x14ac:dyDescent="0.25">
      <c r="I6990" s="199"/>
      <c r="J6990" s="199"/>
    </row>
    <row r="6991" spans="9:10" x14ac:dyDescent="0.25">
      <c r="I6991" s="199"/>
      <c r="J6991" s="199"/>
    </row>
    <row r="6992" spans="9:10" x14ac:dyDescent="0.25">
      <c r="I6992" s="199"/>
      <c r="J6992" s="199"/>
    </row>
    <row r="6993" spans="9:10" x14ac:dyDescent="0.25">
      <c r="I6993" s="199"/>
      <c r="J6993" s="199"/>
    </row>
    <row r="6994" spans="9:10" x14ac:dyDescent="0.25">
      <c r="I6994" s="199"/>
      <c r="J6994" s="199"/>
    </row>
    <row r="6995" spans="9:10" x14ac:dyDescent="0.25">
      <c r="I6995" s="199"/>
      <c r="J6995" s="199"/>
    </row>
    <row r="6996" spans="9:10" x14ac:dyDescent="0.25">
      <c r="I6996" s="199"/>
      <c r="J6996" s="199"/>
    </row>
    <row r="6997" spans="9:10" x14ac:dyDescent="0.25">
      <c r="I6997" s="199"/>
      <c r="J6997" s="199"/>
    </row>
    <row r="6998" spans="9:10" x14ac:dyDescent="0.25">
      <c r="I6998" s="199"/>
      <c r="J6998" s="199"/>
    </row>
    <row r="6999" spans="9:10" x14ac:dyDescent="0.25">
      <c r="I6999" s="199"/>
      <c r="J6999" s="199"/>
    </row>
    <row r="7000" spans="9:10" x14ac:dyDescent="0.25">
      <c r="I7000" s="199"/>
      <c r="J7000" s="199"/>
    </row>
    <row r="7001" spans="9:10" x14ac:dyDescent="0.25">
      <c r="I7001" s="199"/>
      <c r="J7001" s="199"/>
    </row>
    <row r="7002" spans="9:10" x14ac:dyDescent="0.25">
      <c r="I7002" s="199"/>
      <c r="J7002" s="199"/>
    </row>
    <row r="7003" spans="9:10" x14ac:dyDescent="0.25">
      <c r="I7003" s="199"/>
      <c r="J7003" s="199"/>
    </row>
    <row r="7004" spans="9:10" x14ac:dyDescent="0.25">
      <c r="I7004" s="199"/>
      <c r="J7004" s="199"/>
    </row>
    <row r="7005" spans="9:10" x14ac:dyDescent="0.25">
      <c r="I7005" s="199"/>
      <c r="J7005" s="199"/>
    </row>
    <row r="7006" spans="9:10" x14ac:dyDescent="0.25">
      <c r="I7006" s="199"/>
      <c r="J7006" s="199"/>
    </row>
    <row r="7007" spans="9:10" x14ac:dyDescent="0.25">
      <c r="I7007" s="199"/>
      <c r="J7007" s="199"/>
    </row>
    <row r="7008" spans="9:10" x14ac:dyDescent="0.25">
      <c r="I7008" s="199"/>
      <c r="J7008" s="199"/>
    </row>
    <row r="7009" spans="9:10" x14ac:dyDescent="0.25">
      <c r="I7009" s="199"/>
      <c r="J7009" s="199"/>
    </row>
    <row r="7010" spans="9:10" x14ac:dyDescent="0.25">
      <c r="I7010" s="199"/>
      <c r="J7010" s="199"/>
    </row>
    <row r="7011" spans="9:10" x14ac:dyDescent="0.25">
      <c r="I7011" s="199"/>
      <c r="J7011" s="199"/>
    </row>
    <row r="7012" spans="9:10" x14ac:dyDescent="0.25">
      <c r="I7012" s="199"/>
      <c r="J7012" s="199"/>
    </row>
    <row r="7013" spans="9:10" x14ac:dyDescent="0.25">
      <c r="I7013" s="199"/>
      <c r="J7013" s="199"/>
    </row>
    <row r="7014" spans="9:10" x14ac:dyDescent="0.25">
      <c r="I7014" s="199"/>
      <c r="J7014" s="199"/>
    </row>
    <row r="7015" spans="9:10" x14ac:dyDescent="0.25">
      <c r="I7015" s="199"/>
      <c r="J7015" s="199"/>
    </row>
    <row r="7016" spans="9:10" x14ac:dyDescent="0.25">
      <c r="I7016" s="199"/>
      <c r="J7016" s="199"/>
    </row>
    <row r="7017" spans="9:10" x14ac:dyDescent="0.25">
      <c r="I7017" s="199"/>
      <c r="J7017" s="199"/>
    </row>
    <row r="7018" spans="9:10" x14ac:dyDescent="0.25">
      <c r="I7018" s="199"/>
      <c r="J7018" s="199"/>
    </row>
    <row r="7019" spans="9:10" x14ac:dyDescent="0.25">
      <c r="I7019" s="199"/>
      <c r="J7019" s="199"/>
    </row>
    <row r="7020" spans="9:10" x14ac:dyDescent="0.25">
      <c r="I7020" s="199"/>
      <c r="J7020" s="199"/>
    </row>
    <row r="7021" spans="9:10" x14ac:dyDescent="0.25">
      <c r="I7021" s="199"/>
      <c r="J7021" s="199"/>
    </row>
    <row r="7022" spans="9:10" x14ac:dyDescent="0.25">
      <c r="I7022" s="199"/>
      <c r="J7022" s="199"/>
    </row>
    <row r="7023" spans="9:10" x14ac:dyDescent="0.25">
      <c r="I7023" s="199"/>
      <c r="J7023" s="199"/>
    </row>
    <row r="7024" spans="9:10" x14ac:dyDescent="0.25">
      <c r="I7024" s="199"/>
      <c r="J7024" s="199"/>
    </row>
    <row r="7025" spans="9:10" x14ac:dyDescent="0.25">
      <c r="I7025" s="199"/>
      <c r="J7025" s="199"/>
    </row>
    <row r="7026" spans="9:10" x14ac:dyDescent="0.25">
      <c r="I7026" s="199"/>
      <c r="J7026" s="199"/>
    </row>
    <row r="7027" spans="9:10" x14ac:dyDescent="0.25">
      <c r="I7027" s="199"/>
      <c r="J7027" s="199"/>
    </row>
    <row r="7028" spans="9:10" x14ac:dyDescent="0.25">
      <c r="I7028" s="199"/>
      <c r="J7028" s="199"/>
    </row>
    <row r="7029" spans="9:10" x14ac:dyDescent="0.25">
      <c r="I7029" s="199"/>
      <c r="J7029" s="199"/>
    </row>
    <row r="7030" spans="9:10" x14ac:dyDescent="0.25">
      <c r="I7030" s="199"/>
      <c r="J7030" s="199"/>
    </row>
    <row r="7031" spans="9:10" x14ac:dyDescent="0.25">
      <c r="I7031" s="199"/>
      <c r="J7031" s="199"/>
    </row>
    <row r="7032" spans="9:10" x14ac:dyDescent="0.25">
      <c r="I7032" s="199"/>
      <c r="J7032" s="199"/>
    </row>
    <row r="7033" spans="9:10" x14ac:dyDescent="0.25">
      <c r="I7033" s="199"/>
      <c r="J7033" s="199"/>
    </row>
    <row r="7034" spans="9:10" x14ac:dyDescent="0.25">
      <c r="I7034" s="199"/>
      <c r="J7034" s="199"/>
    </row>
    <row r="7035" spans="9:10" x14ac:dyDescent="0.25">
      <c r="I7035" s="199"/>
      <c r="J7035" s="199"/>
    </row>
    <row r="7036" spans="9:10" x14ac:dyDescent="0.25">
      <c r="I7036" s="199"/>
      <c r="J7036" s="199"/>
    </row>
    <row r="7037" spans="9:10" x14ac:dyDescent="0.25">
      <c r="I7037" s="199"/>
      <c r="J7037" s="199"/>
    </row>
    <row r="7038" spans="9:10" x14ac:dyDescent="0.25">
      <c r="I7038" s="199"/>
      <c r="J7038" s="199"/>
    </row>
    <row r="7039" spans="9:10" x14ac:dyDescent="0.25">
      <c r="I7039" s="199"/>
      <c r="J7039" s="199"/>
    </row>
    <row r="7040" spans="9:10" x14ac:dyDescent="0.25">
      <c r="I7040" s="199"/>
      <c r="J7040" s="199"/>
    </row>
    <row r="7041" spans="9:10" x14ac:dyDescent="0.25">
      <c r="I7041" s="199"/>
      <c r="J7041" s="199"/>
    </row>
    <row r="7042" spans="9:10" x14ac:dyDescent="0.25">
      <c r="I7042" s="199"/>
      <c r="J7042" s="199"/>
    </row>
    <row r="7043" spans="9:10" x14ac:dyDescent="0.25">
      <c r="I7043" s="199"/>
      <c r="J7043" s="199"/>
    </row>
    <row r="7044" spans="9:10" x14ac:dyDescent="0.25">
      <c r="I7044" s="199"/>
      <c r="J7044" s="199"/>
    </row>
    <row r="7045" spans="9:10" x14ac:dyDescent="0.25">
      <c r="I7045" s="199"/>
      <c r="J7045" s="199"/>
    </row>
    <row r="7046" spans="9:10" x14ac:dyDescent="0.25">
      <c r="I7046" s="199"/>
      <c r="J7046" s="199"/>
    </row>
    <row r="7047" spans="9:10" x14ac:dyDescent="0.25">
      <c r="I7047" s="199"/>
      <c r="J7047" s="199"/>
    </row>
    <row r="7048" spans="9:10" x14ac:dyDescent="0.25">
      <c r="I7048" s="199"/>
      <c r="J7048" s="199"/>
    </row>
    <row r="7049" spans="9:10" x14ac:dyDescent="0.25">
      <c r="I7049" s="199"/>
      <c r="J7049" s="199"/>
    </row>
    <row r="7050" spans="9:10" x14ac:dyDescent="0.25">
      <c r="I7050" s="199"/>
      <c r="J7050" s="199"/>
    </row>
    <row r="7051" spans="9:10" x14ac:dyDescent="0.25">
      <c r="I7051" s="199"/>
      <c r="J7051" s="199"/>
    </row>
    <row r="7052" spans="9:10" x14ac:dyDescent="0.25">
      <c r="I7052" s="199"/>
      <c r="J7052" s="199"/>
    </row>
    <row r="7053" spans="9:10" x14ac:dyDescent="0.25">
      <c r="I7053" s="199"/>
      <c r="J7053" s="199"/>
    </row>
    <row r="7054" spans="9:10" x14ac:dyDescent="0.25">
      <c r="I7054" s="199"/>
      <c r="J7054" s="199"/>
    </row>
    <row r="7055" spans="9:10" x14ac:dyDescent="0.25">
      <c r="I7055" s="199"/>
      <c r="J7055" s="199"/>
    </row>
    <row r="7056" spans="9:10" x14ac:dyDescent="0.25">
      <c r="I7056" s="199"/>
      <c r="J7056" s="199"/>
    </row>
    <row r="7057" spans="9:10" x14ac:dyDescent="0.25">
      <c r="I7057" s="199"/>
      <c r="J7057" s="199"/>
    </row>
    <row r="7058" spans="9:10" x14ac:dyDescent="0.25">
      <c r="I7058" s="199"/>
      <c r="J7058" s="199"/>
    </row>
    <row r="7059" spans="9:10" x14ac:dyDescent="0.25">
      <c r="I7059" s="199"/>
      <c r="J7059" s="199"/>
    </row>
    <row r="7060" spans="9:10" x14ac:dyDescent="0.25">
      <c r="I7060" s="199"/>
      <c r="J7060" s="199"/>
    </row>
    <row r="7061" spans="9:10" x14ac:dyDescent="0.25">
      <c r="I7061" s="199"/>
      <c r="J7061" s="199"/>
    </row>
    <row r="7062" spans="9:10" x14ac:dyDescent="0.25">
      <c r="I7062" s="199"/>
      <c r="J7062" s="199"/>
    </row>
    <row r="7063" spans="9:10" x14ac:dyDescent="0.25">
      <c r="I7063" s="199"/>
      <c r="J7063" s="199"/>
    </row>
    <row r="7064" spans="9:10" x14ac:dyDescent="0.25">
      <c r="I7064" s="199"/>
      <c r="J7064" s="199"/>
    </row>
    <row r="7065" spans="9:10" x14ac:dyDescent="0.25">
      <c r="I7065" s="199"/>
      <c r="J7065" s="199"/>
    </row>
    <row r="7066" spans="9:10" x14ac:dyDescent="0.25">
      <c r="I7066" s="199"/>
      <c r="J7066" s="199"/>
    </row>
    <row r="7067" spans="9:10" x14ac:dyDescent="0.25">
      <c r="I7067" s="199"/>
      <c r="J7067" s="199"/>
    </row>
    <row r="7068" spans="9:10" x14ac:dyDescent="0.25">
      <c r="I7068" s="199"/>
      <c r="J7068" s="199"/>
    </row>
    <row r="7069" spans="9:10" x14ac:dyDescent="0.25">
      <c r="I7069" s="199"/>
      <c r="J7069" s="199"/>
    </row>
    <row r="7070" spans="9:10" x14ac:dyDescent="0.25">
      <c r="I7070" s="199"/>
      <c r="J7070" s="199"/>
    </row>
    <row r="7071" spans="9:10" x14ac:dyDescent="0.25">
      <c r="I7071" s="199"/>
      <c r="J7071" s="199"/>
    </row>
    <row r="7072" spans="9:10" x14ac:dyDescent="0.25">
      <c r="I7072" s="199"/>
      <c r="J7072" s="199"/>
    </row>
    <row r="7073" spans="9:10" x14ac:dyDescent="0.25">
      <c r="I7073" s="199"/>
      <c r="J7073" s="199"/>
    </row>
    <row r="7074" spans="9:10" x14ac:dyDescent="0.25">
      <c r="I7074" s="199"/>
      <c r="J7074" s="199"/>
    </row>
    <row r="7075" spans="9:10" x14ac:dyDescent="0.25">
      <c r="I7075" s="199"/>
      <c r="J7075" s="199"/>
    </row>
    <row r="7076" spans="9:10" x14ac:dyDescent="0.25">
      <c r="I7076" s="199"/>
      <c r="J7076" s="199"/>
    </row>
    <row r="7077" spans="9:10" x14ac:dyDescent="0.25">
      <c r="I7077" s="199"/>
      <c r="J7077" s="199"/>
    </row>
    <row r="7078" spans="9:10" x14ac:dyDescent="0.25">
      <c r="I7078" s="199"/>
      <c r="J7078" s="199"/>
    </row>
    <row r="7079" spans="9:10" x14ac:dyDescent="0.25">
      <c r="I7079" s="199"/>
      <c r="J7079" s="199"/>
    </row>
    <row r="7080" spans="9:10" x14ac:dyDescent="0.25">
      <c r="I7080" s="199"/>
      <c r="J7080" s="199"/>
    </row>
    <row r="7081" spans="9:10" x14ac:dyDescent="0.25">
      <c r="I7081" s="199"/>
      <c r="J7081" s="199"/>
    </row>
    <row r="7082" spans="9:10" x14ac:dyDescent="0.25">
      <c r="I7082" s="199"/>
      <c r="J7082" s="199"/>
    </row>
    <row r="7083" spans="9:10" x14ac:dyDescent="0.25">
      <c r="I7083" s="199"/>
      <c r="J7083" s="199"/>
    </row>
    <row r="7084" spans="9:10" x14ac:dyDescent="0.25">
      <c r="I7084" s="199"/>
      <c r="J7084" s="199"/>
    </row>
    <row r="7085" spans="9:10" x14ac:dyDescent="0.25">
      <c r="I7085" s="199"/>
      <c r="J7085" s="199"/>
    </row>
    <row r="7086" spans="9:10" x14ac:dyDescent="0.25">
      <c r="I7086" s="199"/>
      <c r="J7086" s="199"/>
    </row>
    <row r="7087" spans="9:10" x14ac:dyDescent="0.25">
      <c r="I7087" s="199"/>
      <c r="J7087" s="199"/>
    </row>
    <row r="7088" spans="9:10" x14ac:dyDescent="0.25">
      <c r="I7088" s="199"/>
      <c r="J7088" s="199"/>
    </row>
    <row r="7089" spans="9:10" x14ac:dyDescent="0.25">
      <c r="I7089" s="199"/>
      <c r="J7089" s="199"/>
    </row>
    <row r="7090" spans="9:10" x14ac:dyDescent="0.25">
      <c r="I7090" s="199"/>
      <c r="J7090" s="199"/>
    </row>
    <row r="7091" spans="9:10" x14ac:dyDescent="0.25">
      <c r="I7091" s="199"/>
      <c r="J7091" s="199"/>
    </row>
    <row r="7092" spans="9:10" x14ac:dyDescent="0.25">
      <c r="I7092" s="199"/>
      <c r="J7092" s="199"/>
    </row>
    <row r="7093" spans="9:10" x14ac:dyDescent="0.25">
      <c r="I7093" s="199"/>
      <c r="J7093" s="199"/>
    </row>
    <row r="7094" spans="9:10" x14ac:dyDescent="0.25">
      <c r="I7094" s="199"/>
      <c r="J7094" s="199"/>
    </row>
    <row r="7095" spans="9:10" x14ac:dyDescent="0.25">
      <c r="I7095" s="199"/>
      <c r="J7095" s="199"/>
    </row>
    <row r="7096" spans="9:10" x14ac:dyDescent="0.25">
      <c r="I7096" s="199"/>
      <c r="J7096" s="199"/>
    </row>
    <row r="7097" spans="9:10" x14ac:dyDescent="0.25">
      <c r="I7097" s="199"/>
      <c r="J7097" s="199"/>
    </row>
    <row r="7098" spans="9:10" x14ac:dyDescent="0.25">
      <c r="I7098" s="199"/>
      <c r="J7098" s="199"/>
    </row>
    <row r="7099" spans="9:10" x14ac:dyDescent="0.25">
      <c r="I7099" s="199"/>
      <c r="J7099" s="199"/>
    </row>
    <row r="7100" spans="9:10" x14ac:dyDescent="0.25">
      <c r="I7100" s="199"/>
      <c r="J7100" s="199"/>
    </row>
    <row r="7101" spans="9:10" x14ac:dyDescent="0.25">
      <c r="I7101" s="199"/>
      <c r="J7101" s="199"/>
    </row>
    <row r="7102" spans="9:10" x14ac:dyDescent="0.25">
      <c r="I7102" s="199"/>
      <c r="J7102" s="199"/>
    </row>
    <row r="7103" spans="9:10" x14ac:dyDescent="0.25">
      <c r="I7103" s="199"/>
      <c r="J7103" s="199"/>
    </row>
    <row r="7104" spans="9:10" x14ac:dyDescent="0.25">
      <c r="I7104" s="199"/>
      <c r="J7104" s="199"/>
    </row>
    <row r="7105" spans="9:10" x14ac:dyDescent="0.25">
      <c r="I7105" s="199"/>
      <c r="J7105" s="199"/>
    </row>
    <row r="7106" spans="9:10" x14ac:dyDescent="0.25">
      <c r="I7106" s="199"/>
      <c r="J7106" s="199"/>
    </row>
    <row r="7107" spans="9:10" x14ac:dyDescent="0.25">
      <c r="I7107" s="199"/>
      <c r="J7107" s="199"/>
    </row>
    <row r="7108" spans="9:10" x14ac:dyDescent="0.25">
      <c r="I7108" s="199"/>
      <c r="J7108" s="199"/>
    </row>
    <row r="7109" spans="9:10" x14ac:dyDescent="0.25">
      <c r="I7109" s="199"/>
      <c r="J7109" s="199"/>
    </row>
    <row r="7110" spans="9:10" x14ac:dyDescent="0.25">
      <c r="I7110" s="199"/>
      <c r="J7110" s="199"/>
    </row>
    <row r="7111" spans="9:10" x14ac:dyDescent="0.25">
      <c r="I7111" s="199"/>
      <c r="J7111" s="199"/>
    </row>
    <row r="7112" spans="9:10" x14ac:dyDescent="0.25">
      <c r="I7112" s="199"/>
      <c r="J7112" s="199"/>
    </row>
    <row r="7113" spans="9:10" x14ac:dyDescent="0.25">
      <c r="I7113" s="199"/>
      <c r="J7113" s="199"/>
    </row>
    <row r="7114" spans="9:10" x14ac:dyDescent="0.25">
      <c r="I7114" s="199"/>
      <c r="J7114" s="199"/>
    </row>
    <row r="7115" spans="9:10" x14ac:dyDescent="0.25">
      <c r="I7115" s="199"/>
      <c r="J7115" s="199"/>
    </row>
    <row r="7116" spans="9:10" x14ac:dyDescent="0.25">
      <c r="I7116" s="199"/>
      <c r="J7116" s="199"/>
    </row>
    <row r="7117" spans="9:10" x14ac:dyDescent="0.25">
      <c r="I7117" s="199"/>
      <c r="J7117" s="199"/>
    </row>
    <row r="7118" spans="9:10" x14ac:dyDescent="0.25">
      <c r="I7118" s="199"/>
      <c r="J7118" s="199"/>
    </row>
    <row r="7119" spans="9:10" x14ac:dyDescent="0.25">
      <c r="I7119" s="199"/>
      <c r="J7119" s="199"/>
    </row>
    <row r="7120" spans="9:10" x14ac:dyDescent="0.25">
      <c r="I7120" s="199"/>
      <c r="J7120" s="199"/>
    </row>
    <row r="7121" spans="9:10" x14ac:dyDescent="0.25">
      <c r="I7121" s="199"/>
      <c r="J7121" s="199"/>
    </row>
    <row r="7122" spans="9:10" x14ac:dyDescent="0.25">
      <c r="I7122" s="199"/>
      <c r="J7122" s="199"/>
    </row>
    <row r="7123" spans="9:10" x14ac:dyDescent="0.25">
      <c r="I7123" s="199"/>
      <c r="J7123" s="199"/>
    </row>
    <row r="7124" spans="9:10" x14ac:dyDescent="0.25">
      <c r="I7124" s="199"/>
      <c r="J7124" s="199"/>
    </row>
    <row r="7125" spans="9:10" x14ac:dyDescent="0.25">
      <c r="I7125" s="199"/>
      <c r="J7125" s="199"/>
    </row>
    <row r="7126" spans="9:10" x14ac:dyDescent="0.25">
      <c r="I7126" s="199"/>
      <c r="J7126" s="199"/>
    </row>
    <row r="7127" spans="9:10" x14ac:dyDescent="0.25">
      <c r="I7127" s="199"/>
      <c r="J7127" s="199"/>
    </row>
    <row r="7128" spans="9:10" x14ac:dyDescent="0.25">
      <c r="I7128" s="199"/>
      <c r="J7128" s="199"/>
    </row>
    <row r="7129" spans="9:10" x14ac:dyDescent="0.25">
      <c r="I7129" s="199"/>
      <c r="J7129" s="199"/>
    </row>
    <row r="7130" spans="9:10" x14ac:dyDescent="0.25">
      <c r="I7130" s="199"/>
      <c r="J7130" s="199"/>
    </row>
    <row r="7131" spans="9:10" x14ac:dyDescent="0.25">
      <c r="I7131" s="199"/>
      <c r="J7131" s="199"/>
    </row>
    <row r="7132" spans="9:10" x14ac:dyDescent="0.25">
      <c r="I7132" s="199"/>
      <c r="J7132" s="199"/>
    </row>
    <row r="7133" spans="9:10" x14ac:dyDescent="0.25">
      <c r="I7133" s="199"/>
      <c r="J7133" s="199"/>
    </row>
    <row r="7134" spans="9:10" x14ac:dyDescent="0.25">
      <c r="I7134" s="199"/>
      <c r="J7134" s="199"/>
    </row>
    <row r="7135" spans="9:10" x14ac:dyDescent="0.25">
      <c r="I7135" s="199"/>
      <c r="J7135" s="199"/>
    </row>
    <row r="7136" spans="9:10" x14ac:dyDescent="0.25">
      <c r="I7136" s="199"/>
      <c r="J7136" s="199"/>
    </row>
    <row r="7137" spans="9:10" x14ac:dyDescent="0.25">
      <c r="I7137" s="199"/>
      <c r="J7137" s="199"/>
    </row>
    <row r="7138" spans="9:10" x14ac:dyDescent="0.25">
      <c r="I7138" s="199"/>
      <c r="J7138" s="199"/>
    </row>
    <row r="7139" spans="9:10" x14ac:dyDescent="0.25">
      <c r="I7139" s="199"/>
      <c r="J7139" s="199"/>
    </row>
    <row r="7140" spans="9:10" x14ac:dyDescent="0.25">
      <c r="I7140" s="199"/>
      <c r="J7140" s="199"/>
    </row>
    <row r="7141" spans="9:10" x14ac:dyDescent="0.25">
      <c r="I7141" s="199"/>
      <c r="J7141" s="199"/>
    </row>
    <row r="7142" spans="9:10" x14ac:dyDescent="0.25">
      <c r="I7142" s="199"/>
      <c r="J7142" s="199"/>
    </row>
    <row r="7143" spans="9:10" x14ac:dyDescent="0.25">
      <c r="I7143" s="199"/>
      <c r="J7143" s="199"/>
    </row>
    <row r="7144" spans="9:10" x14ac:dyDescent="0.25">
      <c r="I7144" s="199"/>
      <c r="J7144" s="199"/>
    </row>
    <row r="7145" spans="9:10" x14ac:dyDescent="0.25">
      <c r="I7145" s="199"/>
      <c r="J7145" s="199"/>
    </row>
    <row r="7146" spans="9:10" x14ac:dyDescent="0.25">
      <c r="I7146" s="199"/>
      <c r="J7146" s="199"/>
    </row>
    <row r="7147" spans="9:10" x14ac:dyDescent="0.25">
      <c r="I7147" s="199"/>
      <c r="J7147" s="199"/>
    </row>
    <row r="7148" spans="9:10" x14ac:dyDescent="0.25">
      <c r="I7148" s="199"/>
      <c r="J7148" s="199"/>
    </row>
    <row r="7149" spans="9:10" x14ac:dyDescent="0.25">
      <c r="I7149" s="199"/>
      <c r="J7149" s="199"/>
    </row>
    <row r="7150" spans="9:10" x14ac:dyDescent="0.25">
      <c r="I7150" s="199"/>
      <c r="J7150" s="199"/>
    </row>
    <row r="7151" spans="9:10" x14ac:dyDescent="0.25">
      <c r="I7151" s="199"/>
      <c r="J7151" s="199"/>
    </row>
    <row r="7152" spans="9:10" x14ac:dyDescent="0.25">
      <c r="I7152" s="199"/>
      <c r="J7152" s="199"/>
    </row>
    <row r="7153" spans="9:10" x14ac:dyDescent="0.25">
      <c r="I7153" s="199"/>
      <c r="J7153" s="199"/>
    </row>
    <row r="7154" spans="9:10" x14ac:dyDescent="0.25">
      <c r="I7154" s="199"/>
      <c r="J7154" s="199"/>
    </row>
    <row r="7155" spans="9:10" x14ac:dyDescent="0.25">
      <c r="I7155" s="199"/>
      <c r="J7155" s="199"/>
    </row>
    <row r="7156" spans="9:10" x14ac:dyDescent="0.25">
      <c r="I7156" s="199"/>
      <c r="J7156" s="199"/>
    </row>
    <row r="7157" spans="9:10" x14ac:dyDescent="0.25">
      <c r="I7157" s="199"/>
      <c r="J7157" s="199"/>
    </row>
    <row r="7158" spans="9:10" x14ac:dyDescent="0.25">
      <c r="I7158" s="199"/>
      <c r="J7158" s="199"/>
    </row>
    <row r="7159" spans="9:10" x14ac:dyDescent="0.25">
      <c r="I7159" s="199"/>
      <c r="J7159" s="199"/>
    </row>
    <row r="7160" spans="9:10" x14ac:dyDescent="0.25">
      <c r="I7160" s="199"/>
      <c r="J7160" s="199"/>
    </row>
    <row r="7161" spans="9:10" x14ac:dyDescent="0.25">
      <c r="I7161" s="199"/>
      <c r="J7161" s="199"/>
    </row>
    <row r="7162" spans="9:10" x14ac:dyDescent="0.25">
      <c r="I7162" s="199"/>
      <c r="J7162" s="199"/>
    </row>
    <row r="7163" spans="9:10" x14ac:dyDescent="0.25">
      <c r="I7163" s="199"/>
      <c r="J7163" s="199"/>
    </row>
    <row r="7164" spans="9:10" x14ac:dyDescent="0.25">
      <c r="I7164" s="199"/>
      <c r="J7164" s="199"/>
    </row>
    <row r="7165" spans="9:10" x14ac:dyDescent="0.25">
      <c r="I7165" s="199"/>
      <c r="J7165" s="199"/>
    </row>
    <row r="7166" spans="9:10" x14ac:dyDescent="0.25">
      <c r="I7166" s="199"/>
      <c r="J7166" s="199"/>
    </row>
    <row r="7167" spans="9:10" x14ac:dyDescent="0.25">
      <c r="I7167" s="199"/>
      <c r="J7167" s="199"/>
    </row>
    <row r="7168" spans="9:10" x14ac:dyDescent="0.25">
      <c r="I7168" s="199"/>
      <c r="J7168" s="199"/>
    </row>
    <row r="7169" spans="9:10" x14ac:dyDescent="0.25">
      <c r="I7169" s="199"/>
      <c r="J7169" s="199"/>
    </row>
    <row r="7170" spans="9:10" x14ac:dyDescent="0.25">
      <c r="I7170" s="199"/>
      <c r="J7170" s="199"/>
    </row>
    <row r="7171" spans="9:10" x14ac:dyDescent="0.25">
      <c r="I7171" s="199"/>
      <c r="J7171" s="199"/>
    </row>
    <row r="7172" spans="9:10" x14ac:dyDescent="0.25">
      <c r="I7172" s="199"/>
      <c r="J7172" s="199"/>
    </row>
    <row r="7173" spans="9:10" x14ac:dyDescent="0.25">
      <c r="I7173" s="199"/>
      <c r="J7173" s="199"/>
    </row>
    <row r="7174" spans="9:10" x14ac:dyDescent="0.25">
      <c r="I7174" s="199"/>
      <c r="J7174" s="199"/>
    </row>
    <row r="7175" spans="9:10" x14ac:dyDescent="0.25">
      <c r="I7175" s="199"/>
      <c r="J7175" s="199"/>
    </row>
    <row r="7176" spans="9:10" x14ac:dyDescent="0.25">
      <c r="I7176" s="199"/>
      <c r="J7176" s="199"/>
    </row>
    <row r="7177" spans="9:10" x14ac:dyDescent="0.25">
      <c r="I7177" s="199"/>
      <c r="J7177" s="199"/>
    </row>
    <row r="7178" spans="9:10" x14ac:dyDescent="0.25">
      <c r="I7178" s="199"/>
      <c r="J7178" s="199"/>
    </row>
    <row r="7179" spans="9:10" x14ac:dyDescent="0.25">
      <c r="I7179" s="199"/>
      <c r="J7179" s="199"/>
    </row>
    <row r="7180" spans="9:10" x14ac:dyDescent="0.25">
      <c r="I7180" s="199"/>
      <c r="J7180" s="199"/>
    </row>
    <row r="7181" spans="9:10" x14ac:dyDescent="0.25">
      <c r="I7181" s="199"/>
      <c r="J7181" s="199"/>
    </row>
    <row r="7182" spans="9:10" x14ac:dyDescent="0.25">
      <c r="I7182" s="199"/>
      <c r="J7182" s="199"/>
    </row>
    <row r="7183" spans="9:10" x14ac:dyDescent="0.25">
      <c r="I7183" s="199"/>
      <c r="J7183" s="199"/>
    </row>
    <row r="7184" spans="9:10" x14ac:dyDescent="0.25">
      <c r="I7184" s="199"/>
      <c r="J7184" s="199"/>
    </row>
    <row r="7185" spans="9:10" x14ac:dyDescent="0.25">
      <c r="I7185" s="199"/>
      <c r="J7185" s="199"/>
    </row>
    <row r="7186" spans="9:10" x14ac:dyDescent="0.25">
      <c r="I7186" s="199"/>
      <c r="J7186" s="199"/>
    </row>
    <row r="7187" spans="9:10" x14ac:dyDescent="0.25">
      <c r="I7187" s="199"/>
      <c r="J7187" s="199"/>
    </row>
    <row r="7188" spans="9:10" x14ac:dyDescent="0.25">
      <c r="I7188" s="199"/>
      <c r="J7188" s="199"/>
    </row>
    <row r="7189" spans="9:10" x14ac:dyDescent="0.25">
      <c r="I7189" s="199"/>
      <c r="J7189" s="199"/>
    </row>
    <row r="7190" spans="9:10" x14ac:dyDescent="0.25">
      <c r="I7190" s="199"/>
      <c r="J7190" s="199"/>
    </row>
    <row r="7191" spans="9:10" x14ac:dyDescent="0.25">
      <c r="I7191" s="199"/>
      <c r="J7191" s="199"/>
    </row>
    <row r="7192" spans="9:10" x14ac:dyDescent="0.25">
      <c r="I7192" s="199"/>
      <c r="J7192" s="199"/>
    </row>
    <row r="7193" spans="9:10" x14ac:dyDescent="0.25">
      <c r="I7193" s="199"/>
      <c r="J7193" s="199"/>
    </row>
    <row r="7194" spans="9:10" x14ac:dyDescent="0.25">
      <c r="I7194" s="199"/>
      <c r="J7194" s="199"/>
    </row>
    <row r="7195" spans="9:10" x14ac:dyDescent="0.25">
      <c r="I7195" s="199"/>
      <c r="J7195" s="199"/>
    </row>
    <row r="7196" spans="9:10" x14ac:dyDescent="0.25">
      <c r="I7196" s="199"/>
      <c r="J7196" s="199"/>
    </row>
    <row r="7197" spans="9:10" x14ac:dyDescent="0.25">
      <c r="I7197" s="199"/>
      <c r="J7197" s="199"/>
    </row>
    <row r="7198" spans="9:10" x14ac:dyDescent="0.25">
      <c r="I7198" s="199"/>
      <c r="J7198" s="199"/>
    </row>
    <row r="7199" spans="9:10" x14ac:dyDescent="0.25">
      <c r="I7199" s="199"/>
      <c r="J7199" s="199"/>
    </row>
    <row r="7200" spans="9:10" x14ac:dyDescent="0.25">
      <c r="I7200" s="199"/>
      <c r="J7200" s="199"/>
    </row>
    <row r="7201" spans="9:10" x14ac:dyDescent="0.25">
      <c r="I7201" s="199"/>
      <c r="J7201" s="199"/>
    </row>
    <row r="7202" spans="9:10" x14ac:dyDescent="0.25">
      <c r="I7202" s="199"/>
      <c r="J7202" s="199"/>
    </row>
    <row r="7203" spans="9:10" x14ac:dyDescent="0.25">
      <c r="I7203" s="199"/>
      <c r="J7203" s="199"/>
    </row>
    <row r="7204" spans="9:10" x14ac:dyDescent="0.25">
      <c r="I7204" s="199"/>
      <c r="J7204" s="199"/>
    </row>
    <row r="7205" spans="9:10" x14ac:dyDescent="0.25">
      <c r="I7205" s="199"/>
      <c r="J7205" s="199"/>
    </row>
    <row r="7206" spans="9:10" x14ac:dyDescent="0.25">
      <c r="I7206" s="199"/>
      <c r="J7206" s="199"/>
    </row>
    <row r="7207" spans="9:10" x14ac:dyDescent="0.25">
      <c r="I7207" s="199"/>
      <c r="J7207" s="199"/>
    </row>
    <row r="7208" spans="9:10" x14ac:dyDescent="0.25">
      <c r="I7208" s="199"/>
      <c r="J7208" s="199"/>
    </row>
    <row r="7209" spans="9:10" x14ac:dyDescent="0.25">
      <c r="I7209" s="199"/>
      <c r="J7209" s="199"/>
    </row>
    <row r="7210" spans="9:10" x14ac:dyDescent="0.25">
      <c r="I7210" s="199"/>
      <c r="J7210" s="199"/>
    </row>
    <row r="7211" spans="9:10" x14ac:dyDescent="0.25">
      <c r="I7211" s="199"/>
      <c r="J7211" s="199"/>
    </row>
    <row r="7212" spans="9:10" x14ac:dyDescent="0.25">
      <c r="I7212" s="199"/>
      <c r="J7212" s="199"/>
    </row>
    <row r="7213" spans="9:10" x14ac:dyDescent="0.25">
      <c r="I7213" s="199"/>
      <c r="J7213" s="199"/>
    </row>
    <row r="7214" spans="9:10" x14ac:dyDescent="0.25">
      <c r="I7214" s="199"/>
      <c r="J7214" s="199"/>
    </row>
    <row r="7215" spans="9:10" x14ac:dyDescent="0.25">
      <c r="I7215" s="199"/>
      <c r="J7215" s="199"/>
    </row>
    <row r="7216" spans="9:10" x14ac:dyDescent="0.25">
      <c r="I7216" s="199"/>
      <c r="J7216" s="199"/>
    </row>
    <row r="7217" spans="9:10" x14ac:dyDescent="0.25">
      <c r="I7217" s="199"/>
      <c r="J7217" s="199"/>
    </row>
    <row r="7218" spans="9:10" x14ac:dyDescent="0.25">
      <c r="I7218" s="199"/>
      <c r="J7218" s="199"/>
    </row>
    <row r="7219" spans="9:10" x14ac:dyDescent="0.25">
      <c r="I7219" s="199"/>
      <c r="J7219" s="199"/>
    </row>
    <row r="7220" spans="9:10" x14ac:dyDescent="0.25">
      <c r="I7220" s="199"/>
      <c r="J7220" s="199"/>
    </row>
    <row r="7221" spans="9:10" x14ac:dyDescent="0.25">
      <c r="I7221" s="199"/>
      <c r="J7221" s="199"/>
    </row>
    <row r="7222" spans="9:10" x14ac:dyDescent="0.25">
      <c r="I7222" s="199"/>
      <c r="J7222" s="199"/>
    </row>
    <row r="7223" spans="9:10" x14ac:dyDescent="0.25">
      <c r="I7223" s="199"/>
      <c r="J7223" s="199"/>
    </row>
    <row r="7224" spans="9:10" x14ac:dyDescent="0.25">
      <c r="I7224" s="199"/>
      <c r="J7224" s="199"/>
    </row>
    <row r="7225" spans="9:10" x14ac:dyDescent="0.25">
      <c r="I7225" s="199"/>
      <c r="J7225" s="199"/>
    </row>
    <row r="7226" spans="9:10" x14ac:dyDescent="0.25">
      <c r="I7226" s="199"/>
      <c r="J7226" s="199"/>
    </row>
    <row r="7227" spans="9:10" x14ac:dyDescent="0.25">
      <c r="I7227" s="199"/>
      <c r="J7227" s="199"/>
    </row>
    <row r="7228" spans="9:10" x14ac:dyDescent="0.25">
      <c r="I7228" s="199"/>
      <c r="J7228" s="199"/>
    </row>
    <row r="7229" spans="9:10" x14ac:dyDescent="0.25">
      <c r="I7229" s="199"/>
      <c r="J7229" s="199"/>
    </row>
    <row r="7230" spans="9:10" x14ac:dyDescent="0.25">
      <c r="I7230" s="199"/>
      <c r="J7230" s="199"/>
    </row>
    <row r="7231" spans="9:10" x14ac:dyDescent="0.25">
      <c r="I7231" s="199"/>
      <c r="J7231" s="199"/>
    </row>
    <row r="7232" spans="9:10" x14ac:dyDescent="0.25">
      <c r="I7232" s="199"/>
      <c r="J7232" s="199"/>
    </row>
    <row r="7233" spans="9:10" x14ac:dyDescent="0.25">
      <c r="I7233" s="199"/>
      <c r="J7233" s="199"/>
    </row>
    <row r="7234" spans="9:10" x14ac:dyDescent="0.25">
      <c r="I7234" s="199"/>
      <c r="J7234" s="199"/>
    </row>
    <row r="7235" spans="9:10" x14ac:dyDescent="0.25">
      <c r="I7235" s="199"/>
      <c r="J7235" s="199"/>
    </row>
    <row r="7236" spans="9:10" x14ac:dyDescent="0.25">
      <c r="I7236" s="199"/>
      <c r="J7236" s="199"/>
    </row>
    <row r="7237" spans="9:10" x14ac:dyDescent="0.25">
      <c r="I7237" s="199"/>
      <c r="J7237" s="199"/>
    </row>
    <row r="7238" spans="9:10" x14ac:dyDescent="0.25">
      <c r="I7238" s="199"/>
      <c r="J7238" s="199"/>
    </row>
    <row r="7239" spans="9:10" x14ac:dyDescent="0.25">
      <c r="I7239" s="199"/>
      <c r="J7239" s="199"/>
    </row>
    <row r="7240" spans="9:10" x14ac:dyDescent="0.25">
      <c r="I7240" s="199"/>
      <c r="J7240" s="199"/>
    </row>
    <row r="7241" spans="9:10" x14ac:dyDescent="0.25">
      <c r="I7241" s="199"/>
      <c r="J7241" s="199"/>
    </row>
    <row r="7242" spans="9:10" x14ac:dyDescent="0.25">
      <c r="I7242" s="199"/>
      <c r="J7242" s="199"/>
    </row>
    <row r="7243" spans="9:10" x14ac:dyDescent="0.25">
      <c r="I7243" s="199"/>
      <c r="J7243" s="199"/>
    </row>
    <row r="7244" spans="9:10" x14ac:dyDescent="0.25">
      <c r="I7244" s="199"/>
      <c r="J7244" s="199"/>
    </row>
    <row r="7245" spans="9:10" x14ac:dyDescent="0.25">
      <c r="I7245" s="199"/>
      <c r="J7245" s="199"/>
    </row>
    <row r="7246" spans="9:10" x14ac:dyDescent="0.25">
      <c r="I7246" s="199"/>
      <c r="J7246" s="199"/>
    </row>
    <row r="7247" spans="9:10" x14ac:dyDescent="0.25">
      <c r="I7247" s="199"/>
      <c r="J7247" s="199"/>
    </row>
    <row r="7248" spans="9:10" x14ac:dyDescent="0.25">
      <c r="I7248" s="199"/>
      <c r="J7248" s="199"/>
    </row>
    <row r="7249" spans="9:10" x14ac:dyDescent="0.25">
      <c r="I7249" s="199"/>
      <c r="J7249" s="199"/>
    </row>
    <row r="7250" spans="9:10" x14ac:dyDescent="0.25">
      <c r="I7250" s="199"/>
      <c r="J7250" s="199"/>
    </row>
    <row r="7251" spans="9:10" x14ac:dyDescent="0.25">
      <c r="I7251" s="199"/>
      <c r="J7251" s="199"/>
    </row>
    <row r="7252" spans="9:10" x14ac:dyDescent="0.25">
      <c r="I7252" s="199"/>
      <c r="J7252" s="199"/>
    </row>
    <row r="7253" spans="9:10" x14ac:dyDescent="0.25">
      <c r="I7253" s="199"/>
      <c r="J7253" s="199"/>
    </row>
    <row r="7254" spans="9:10" x14ac:dyDescent="0.25">
      <c r="I7254" s="199"/>
      <c r="J7254" s="199"/>
    </row>
    <row r="7255" spans="9:10" x14ac:dyDescent="0.25">
      <c r="I7255" s="199"/>
      <c r="J7255" s="199"/>
    </row>
    <row r="7256" spans="9:10" x14ac:dyDescent="0.25">
      <c r="I7256" s="199"/>
      <c r="J7256" s="199"/>
    </row>
    <row r="7257" spans="9:10" x14ac:dyDescent="0.25">
      <c r="I7257" s="199"/>
      <c r="J7257" s="199"/>
    </row>
    <row r="7258" spans="9:10" x14ac:dyDescent="0.25">
      <c r="I7258" s="199"/>
      <c r="J7258" s="199"/>
    </row>
    <row r="7259" spans="9:10" x14ac:dyDescent="0.25">
      <c r="I7259" s="199"/>
      <c r="J7259" s="199"/>
    </row>
    <row r="7260" spans="9:10" x14ac:dyDescent="0.25">
      <c r="I7260" s="199"/>
      <c r="J7260" s="199"/>
    </row>
    <row r="7261" spans="9:10" x14ac:dyDescent="0.25">
      <c r="I7261" s="199"/>
      <c r="J7261" s="199"/>
    </row>
    <row r="7262" spans="9:10" x14ac:dyDescent="0.25">
      <c r="I7262" s="199"/>
      <c r="J7262" s="199"/>
    </row>
    <row r="7263" spans="9:10" x14ac:dyDescent="0.25">
      <c r="I7263" s="199"/>
      <c r="J7263" s="199"/>
    </row>
    <row r="7264" spans="9:10" x14ac:dyDescent="0.25">
      <c r="I7264" s="199"/>
      <c r="J7264" s="199"/>
    </row>
    <row r="7265" spans="9:10" x14ac:dyDescent="0.25">
      <c r="I7265" s="199"/>
      <c r="J7265" s="199"/>
    </row>
    <row r="7266" spans="9:10" x14ac:dyDescent="0.25">
      <c r="I7266" s="199"/>
      <c r="J7266" s="199"/>
    </row>
    <row r="7267" spans="9:10" x14ac:dyDescent="0.25">
      <c r="I7267" s="199"/>
      <c r="J7267" s="199"/>
    </row>
    <row r="7268" spans="9:10" x14ac:dyDescent="0.25">
      <c r="I7268" s="199"/>
      <c r="J7268" s="199"/>
    </row>
    <row r="7269" spans="9:10" x14ac:dyDescent="0.25">
      <c r="I7269" s="199"/>
      <c r="J7269" s="199"/>
    </row>
    <row r="7270" spans="9:10" x14ac:dyDescent="0.25">
      <c r="I7270" s="199"/>
      <c r="J7270" s="199"/>
    </row>
    <row r="7271" spans="9:10" x14ac:dyDescent="0.25">
      <c r="I7271" s="199"/>
      <c r="J7271" s="199"/>
    </row>
    <row r="7272" spans="9:10" x14ac:dyDescent="0.25">
      <c r="I7272" s="199"/>
      <c r="J7272" s="199"/>
    </row>
    <row r="7273" spans="9:10" x14ac:dyDescent="0.25">
      <c r="I7273" s="199"/>
      <c r="J7273" s="199"/>
    </row>
    <row r="7274" spans="9:10" x14ac:dyDescent="0.25">
      <c r="I7274" s="199"/>
      <c r="J7274" s="199"/>
    </row>
    <row r="7275" spans="9:10" x14ac:dyDescent="0.25">
      <c r="I7275" s="199"/>
      <c r="J7275" s="199"/>
    </row>
    <row r="7276" spans="9:10" x14ac:dyDescent="0.25">
      <c r="I7276" s="199"/>
      <c r="J7276" s="199"/>
    </row>
    <row r="7277" spans="9:10" x14ac:dyDescent="0.25">
      <c r="I7277" s="199"/>
      <c r="J7277" s="199"/>
    </row>
    <row r="7278" spans="9:10" x14ac:dyDescent="0.25">
      <c r="I7278" s="199"/>
      <c r="J7278" s="199"/>
    </row>
    <row r="7279" spans="9:10" x14ac:dyDescent="0.25">
      <c r="I7279" s="199"/>
      <c r="J7279" s="199"/>
    </row>
    <row r="7280" spans="9:10" x14ac:dyDescent="0.25">
      <c r="I7280" s="199"/>
      <c r="J7280" s="199"/>
    </row>
    <row r="7281" spans="9:10" x14ac:dyDescent="0.25">
      <c r="I7281" s="199"/>
      <c r="J7281" s="199"/>
    </row>
    <row r="7282" spans="9:10" x14ac:dyDescent="0.25">
      <c r="I7282" s="199"/>
      <c r="J7282" s="199"/>
    </row>
    <row r="7283" spans="9:10" x14ac:dyDescent="0.25">
      <c r="I7283" s="199"/>
      <c r="J7283" s="199"/>
    </row>
    <row r="7284" spans="9:10" x14ac:dyDescent="0.25">
      <c r="I7284" s="199"/>
      <c r="J7284" s="199"/>
    </row>
    <row r="7285" spans="9:10" x14ac:dyDescent="0.25">
      <c r="I7285" s="199"/>
      <c r="J7285" s="199"/>
    </row>
    <row r="7286" spans="9:10" x14ac:dyDescent="0.25">
      <c r="I7286" s="199"/>
      <c r="J7286" s="199"/>
    </row>
    <row r="7287" spans="9:10" x14ac:dyDescent="0.25">
      <c r="I7287" s="199"/>
      <c r="J7287" s="199"/>
    </row>
    <row r="7288" spans="9:10" x14ac:dyDescent="0.25">
      <c r="I7288" s="199"/>
      <c r="J7288" s="199"/>
    </row>
    <row r="7289" spans="9:10" x14ac:dyDescent="0.25">
      <c r="I7289" s="199"/>
      <c r="J7289" s="199"/>
    </row>
    <row r="7290" spans="9:10" x14ac:dyDescent="0.25">
      <c r="I7290" s="199"/>
      <c r="J7290" s="199"/>
    </row>
    <row r="7291" spans="9:10" x14ac:dyDescent="0.25">
      <c r="I7291" s="199"/>
      <c r="J7291" s="199"/>
    </row>
    <row r="7292" spans="9:10" x14ac:dyDescent="0.25">
      <c r="I7292" s="199"/>
      <c r="J7292" s="199"/>
    </row>
    <row r="7293" spans="9:10" x14ac:dyDescent="0.25">
      <c r="I7293" s="199"/>
      <c r="J7293" s="199"/>
    </row>
    <row r="7294" spans="9:10" x14ac:dyDescent="0.25">
      <c r="I7294" s="199"/>
      <c r="J7294" s="199"/>
    </row>
    <row r="7295" spans="9:10" x14ac:dyDescent="0.25">
      <c r="I7295" s="199"/>
      <c r="J7295" s="199"/>
    </row>
    <row r="7296" spans="9:10" x14ac:dyDescent="0.25">
      <c r="I7296" s="199"/>
      <c r="J7296" s="199"/>
    </row>
    <row r="7297" spans="9:10" x14ac:dyDescent="0.25">
      <c r="I7297" s="199"/>
      <c r="J7297" s="199"/>
    </row>
    <row r="7298" spans="9:10" x14ac:dyDescent="0.25">
      <c r="I7298" s="199"/>
      <c r="J7298" s="199"/>
    </row>
    <row r="7299" spans="9:10" x14ac:dyDescent="0.25">
      <c r="I7299" s="199"/>
      <c r="J7299" s="199"/>
    </row>
    <row r="7300" spans="9:10" x14ac:dyDescent="0.25">
      <c r="I7300" s="199"/>
      <c r="J7300" s="199"/>
    </row>
    <row r="7301" spans="9:10" x14ac:dyDescent="0.25">
      <c r="I7301" s="199"/>
      <c r="J7301" s="199"/>
    </row>
    <row r="7302" spans="9:10" x14ac:dyDescent="0.25">
      <c r="I7302" s="199"/>
      <c r="J7302" s="199"/>
    </row>
    <row r="7303" spans="9:10" x14ac:dyDescent="0.25">
      <c r="I7303" s="199"/>
      <c r="J7303" s="199"/>
    </row>
    <row r="7304" spans="9:10" x14ac:dyDescent="0.25">
      <c r="I7304" s="199"/>
      <c r="J7304" s="199"/>
    </row>
    <row r="7305" spans="9:10" x14ac:dyDescent="0.25">
      <c r="I7305" s="199"/>
      <c r="J7305" s="199"/>
    </row>
    <row r="7306" spans="9:10" x14ac:dyDescent="0.25">
      <c r="I7306" s="199"/>
      <c r="J7306" s="199"/>
    </row>
    <row r="7307" spans="9:10" x14ac:dyDescent="0.25">
      <c r="I7307" s="199"/>
      <c r="J7307" s="199"/>
    </row>
    <row r="7308" spans="9:10" x14ac:dyDescent="0.25">
      <c r="I7308" s="199"/>
      <c r="J7308" s="199"/>
    </row>
    <row r="7309" spans="9:10" x14ac:dyDescent="0.25">
      <c r="I7309" s="199"/>
      <c r="J7309" s="199"/>
    </row>
    <row r="7310" spans="9:10" x14ac:dyDescent="0.25">
      <c r="I7310" s="199"/>
      <c r="J7310" s="199"/>
    </row>
    <row r="7311" spans="9:10" x14ac:dyDescent="0.25">
      <c r="I7311" s="199"/>
      <c r="J7311" s="199"/>
    </row>
    <row r="7312" spans="9:10" x14ac:dyDescent="0.25">
      <c r="I7312" s="199"/>
      <c r="J7312" s="199"/>
    </row>
    <row r="7313" spans="9:10" x14ac:dyDescent="0.25">
      <c r="I7313" s="199"/>
      <c r="J7313" s="199"/>
    </row>
    <row r="7314" spans="9:10" x14ac:dyDescent="0.25">
      <c r="I7314" s="199"/>
      <c r="J7314" s="199"/>
    </row>
    <row r="7315" spans="9:10" x14ac:dyDescent="0.25">
      <c r="I7315" s="199"/>
      <c r="J7315" s="199"/>
    </row>
    <row r="7316" spans="9:10" x14ac:dyDescent="0.25">
      <c r="I7316" s="199"/>
      <c r="J7316" s="199"/>
    </row>
    <row r="7317" spans="9:10" x14ac:dyDescent="0.25">
      <c r="I7317" s="199"/>
      <c r="J7317" s="199"/>
    </row>
    <row r="7318" spans="9:10" x14ac:dyDescent="0.25">
      <c r="I7318" s="199"/>
      <c r="J7318" s="199"/>
    </row>
    <row r="7319" spans="9:10" x14ac:dyDescent="0.25">
      <c r="I7319" s="199"/>
      <c r="J7319" s="199"/>
    </row>
    <row r="7320" spans="9:10" x14ac:dyDescent="0.25">
      <c r="I7320" s="199"/>
      <c r="J7320" s="199"/>
    </row>
    <row r="7321" spans="9:10" x14ac:dyDescent="0.25">
      <c r="I7321" s="199"/>
      <c r="J7321" s="199"/>
    </row>
    <row r="7322" spans="9:10" x14ac:dyDescent="0.25">
      <c r="I7322" s="199"/>
      <c r="J7322" s="199"/>
    </row>
    <row r="7323" spans="9:10" x14ac:dyDescent="0.25">
      <c r="I7323" s="199"/>
      <c r="J7323" s="199"/>
    </row>
    <row r="7324" spans="9:10" x14ac:dyDescent="0.25">
      <c r="I7324" s="199"/>
      <c r="J7324" s="199"/>
    </row>
    <row r="7325" spans="9:10" x14ac:dyDescent="0.25">
      <c r="I7325" s="199"/>
      <c r="J7325" s="199"/>
    </row>
    <row r="7326" spans="9:10" x14ac:dyDescent="0.25">
      <c r="I7326" s="199"/>
      <c r="J7326" s="199"/>
    </row>
    <row r="7327" spans="9:10" x14ac:dyDescent="0.25">
      <c r="I7327" s="199"/>
      <c r="J7327" s="199"/>
    </row>
    <row r="7328" spans="9:10" x14ac:dyDescent="0.25">
      <c r="I7328" s="199"/>
      <c r="J7328" s="199"/>
    </row>
    <row r="7329" spans="9:10" x14ac:dyDescent="0.25">
      <c r="I7329" s="199"/>
      <c r="J7329" s="199"/>
    </row>
    <row r="7330" spans="9:10" x14ac:dyDescent="0.25">
      <c r="I7330" s="199"/>
      <c r="J7330" s="199"/>
    </row>
    <row r="7331" spans="9:10" x14ac:dyDescent="0.25">
      <c r="I7331" s="199"/>
      <c r="J7331" s="199"/>
    </row>
    <row r="7332" spans="9:10" x14ac:dyDescent="0.25">
      <c r="I7332" s="199"/>
      <c r="J7332" s="199"/>
    </row>
    <row r="7333" spans="9:10" x14ac:dyDescent="0.25">
      <c r="I7333" s="199"/>
      <c r="J7333" s="199"/>
    </row>
    <row r="7334" spans="9:10" x14ac:dyDescent="0.25">
      <c r="I7334" s="199"/>
      <c r="J7334" s="199"/>
    </row>
    <row r="7335" spans="9:10" x14ac:dyDescent="0.25">
      <c r="I7335" s="199"/>
      <c r="J7335" s="199"/>
    </row>
    <row r="7336" spans="9:10" x14ac:dyDescent="0.25">
      <c r="I7336" s="199"/>
      <c r="J7336" s="199"/>
    </row>
    <row r="7337" spans="9:10" x14ac:dyDescent="0.25">
      <c r="I7337" s="199"/>
      <c r="J7337" s="199"/>
    </row>
    <row r="7338" spans="9:10" x14ac:dyDescent="0.25">
      <c r="I7338" s="199"/>
      <c r="J7338" s="199"/>
    </row>
    <row r="7339" spans="9:10" x14ac:dyDescent="0.25">
      <c r="I7339" s="199"/>
      <c r="J7339" s="199"/>
    </row>
    <row r="7340" spans="9:10" x14ac:dyDescent="0.25">
      <c r="I7340" s="199"/>
      <c r="J7340" s="199"/>
    </row>
    <row r="7341" spans="9:10" x14ac:dyDescent="0.25">
      <c r="I7341" s="199"/>
      <c r="J7341" s="199"/>
    </row>
    <row r="7342" spans="9:10" x14ac:dyDescent="0.25">
      <c r="I7342" s="199"/>
      <c r="J7342" s="199"/>
    </row>
    <row r="7343" spans="9:10" x14ac:dyDescent="0.25">
      <c r="I7343" s="199"/>
      <c r="J7343" s="199"/>
    </row>
    <row r="7344" spans="9:10" x14ac:dyDescent="0.25">
      <c r="I7344" s="199"/>
      <c r="J7344" s="199"/>
    </row>
    <row r="7345" spans="9:10" x14ac:dyDescent="0.25">
      <c r="I7345" s="199"/>
      <c r="J7345" s="199"/>
    </row>
    <row r="7346" spans="9:10" x14ac:dyDescent="0.25">
      <c r="I7346" s="199"/>
      <c r="J7346" s="199"/>
    </row>
    <row r="7347" spans="9:10" x14ac:dyDescent="0.25">
      <c r="I7347" s="199"/>
      <c r="J7347" s="199"/>
    </row>
    <row r="7348" spans="9:10" x14ac:dyDescent="0.25">
      <c r="I7348" s="199"/>
      <c r="J7348" s="199"/>
    </row>
    <row r="7349" spans="9:10" x14ac:dyDescent="0.25">
      <c r="I7349" s="199"/>
      <c r="J7349" s="199"/>
    </row>
    <row r="7350" spans="9:10" x14ac:dyDescent="0.25">
      <c r="I7350" s="199"/>
      <c r="J7350" s="199"/>
    </row>
    <row r="7351" spans="9:10" x14ac:dyDescent="0.25">
      <c r="I7351" s="199"/>
      <c r="J7351" s="199"/>
    </row>
    <row r="7352" spans="9:10" x14ac:dyDescent="0.25">
      <c r="I7352" s="199"/>
      <c r="J7352" s="199"/>
    </row>
    <row r="7353" spans="9:10" x14ac:dyDescent="0.25">
      <c r="I7353" s="199"/>
      <c r="J7353" s="199"/>
    </row>
    <row r="7354" spans="9:10" x14ac:dyDescent="0.25">
      <c r="I7354" s="199"/>
      <c r="J7354" s="199"/>
    </row>
    <row r="7355" spans="9:10" x14ac:dyDescent="0.25">
      <c r="I7355" s="199"/>
      <c r="J7355" s="199"/>
    </row>
    <row r="7356" spans="9:10" x14ac:dyDescent="0.25">
      <c r="I7356" s="199"/>
      <c r="J7356" s="199"/>
    </row>
    <row r="7357" spans="9:10" x14ac:dyDescent="0.25">
      <c r="I7357" s="199"/>
      <c r="J7357" s="199"/>
    </row>
    <row r="7358" spans="9:10" x14ac:dyDescent="0.25">
      <c r="I7358" s="199"/>
      <c r="J7358" s="199"/>
    </row>
    <row r="7359" spans="9:10" x14ac:dyDescent="0.25">
      <c r="I7359" s="199"/>
      <c r="J7359" s="199"/>
    </row>
    <row r="7360" spans="9:10" x14ac:dyDescent="0.25">
      <c r="I7360" s="199"/>
      <c r="J7360" s="199"/>
    </row>
    <row r="7361" spans="9:10" x14ac:dyDescent="0.25">
      <c r="I7361" s="199"/>
      <c r="J7361" s="199"/>
    </row>
    <row r="7362" spans="9:10" x14ac:dyDescent="0.25">
      <c r="I7362" s="199"/>
      <c r="J7362" s="199"/>
    </row>
    <row r="7363" spans="9:10" x14ac:dyDescent="0.25">
      <c r="I7363" s="199"/>
      <c r="J7363" s="199"/>
    </row>
    <row r="7364" spans="9:10" x14ac:dyDescent="0.25">
      <c r="I7364" s="199"/>
      <c r="J7364" s="199"/>
    </row>
    <row r="7365" spans="9:10" x14ac:dyDescent="0.25">
      <c r="I7365" s="199"/>
      <c r="J7365" s="199"/>
    </row>
    <row r="7366" spans="9:10" x14ac:dyDescent="0.25">
      <c r="I7366" s="199"/>
      <c r="J7366" s="199"/>
    </row>
    <row r="7367" spans="9:10" x14ac:dyDescent="0.25">
      <c r="I7367" s="199"/>
      <c r="J7367" s="199"/>
    </row>
    <row r="7368" spans="9:10" x14ac:dyDescent="0.25">
      <c r="I7368" s="199"/>
      <c r="J7368" s="199"/>
    </row>
    <row r="7369" spans="9:10" x14ac:dyDescent="0.25">
      <c r="I7369" s="199"/>
      <c r="J7369" s="199"/>
    </row>
    <row r="7370" spans="9:10" x14ac:dyDescent="0.25">
      <c r="I7370" s="199"/>
      <c r="J7370" s="199"/>
    </row>
    <row r="7371" spans="9:10" x14ac:dyDescent="0.25">
      <c r="I7371" s="199"/>
      <c r="J7371" s="199"/>
    </row>
    <row r="7372" spans="9:10" x14ac:dyDescent="0.25">
      <c r="I7372" s="199"/>
      <c r="J7372" s="199"/>
    </row>
    <row r="7373" spans="9:10" x14ac:dyDescent="0.25">
      <c r="I7373" s="199"/>
      <c r="J7373" s="199"/>
    </row>
    <row r="7374" spans="9:10" x14ac:dyDescent="0.25">
      <c r="I7374" s="199"/>
      <c r="J7374" s="199"/>
    </row>
    <row r="7375" spans="9:10" x14ac:dyDescent="0.25">
      <c r="I7375" s="199"/>
      <c r="J7375" s="199"/>
    </row>
    <row r="7376" spans="9:10" x14ac:dyDescent="0.25">
      <c r="I7376" s="199"/>
      <c r="J7376" s="199"/>
    </row>
    <row r="7377" spans="9:10" x14ac:dyDescent="0.25">
      <c r="I7377" s="199"/>
      <c r="J7377" s="199"/>
    </row>
    <row r="7378" spans="9:10" x14ac:dyDescent="0.25">
      <c r="I7378" s="199"/>
      <c r="J7378" s="199"/>
    </row>
    <row r="7379" spans="9:10" x14ac:dyDescent="0.25">
      <c r="I7379" s="199"/>
      <c r="J7379" s="199"/>
    </row>
    <row r="7380" spans="9:10" x14ac:dyDescent="0.25">
      <c r="I7380" s="199"/>
      <c r="J7380" s="199"/>
    </row>
    <row r="7381" spans="9:10" x14ac:dyDescent="0.25">
      <c r="I7381" s="199"/>
      <c r="J7381" s="199"/>
    </row>
    <row r="7382" spans="9:10" x14ac:dyDescent="0.25">
      <c r="I7382" s="199"/>
      <c r="J7382" s="199"/>
    </row>
    <row r="7383" spans="9:10" x14ac:dyDescent="0.25">
      <c r="I7383" s="199"/>
      <c r="J7383" s="199"/>
    </row>
    <row r="7384" spans="9:10" x14ac:dyDescent="0.25">
      <c r="I7384" s="199"/>
      <c r="J7384" s="199"/>
    </row>
    <row r="7385" spans="9:10" x14ac:dyDescent="0.25">
      <c r="I7385" s="199"/>
      <c r="J7385" s="199"/>
    </row>
    <row r="7386" spans="9:10" x14ac:dyDescent="0.25">
      <c r="I7386" s="199"/>
      <c r="J7386" s="199"/>
    </row>
    <row r="7387" spans="9:10" x14ac:dyDescent="0.25">
      <c r="I7387" s="199"/>
      <c r="J7387" s="199"/>
    </row>
    <row r="7388" spans="9:10" x14ac:dyDescent="0.25">
      <c r="I7388" s="199"/>
      <c r="J7388" s="199"/>
    </row>
    <row r="7389" spans="9:10" x14ac:dyDescent="0.25">
      <c r="I7389" s="199"/>
      <c r="J7389" s="199"/>
    </row>
    <row r="7390" spans="9:10" x14ac:dyDescent="0.25">
      <c r="I7390" s="199"/>
      <c r="J7390" s="199"/>
    </row>
    <row r="7391" spans="9:10" x14ac:dyDescent="0.25">
      <c r="I7391" s="199"/>
      <c r="J7391" s="199"/>
    </row>
    <row r="7392" spans="9:10" x14ac:dyDescent="0.25">
      <c r="I7392" s="199"/>
      <c r="J7392" s="199"/>
    </row>
    <row r="7393" spans="9:10" x14ac:dyDescent="0.25">
      <c r="I7393" s="199"/>
      <c r="J7393" s="199"/>
    </row>
    <row r="7394" spans="9:10" x14ac:dyDescent="0.25">
      <c r="I7394" s="199"/>
      <c r="J7394" s="199"/>
    </row>
    <row r="7395" spans="9:10" x14ac:dyDescent="0.25">
      <c r="I7395" s="199"/>
      <c r="J7395" s="199"/>
    </row>
    <row r="7396" spans="9:10" x14ac:dyDescent="0.25">
      <c r="I7396" s="199"/>
      <c r="J7396" s="199"/>
    </row>
    <row r="7397" spans="9:10" x14ac:dyDescent="0.25">
      <c r="I7397" s="199"/>
      <c r="J7397" s="199"/>
    </row>
    <row r="7398" spans="9:10" x14ac:dyDescent="0.25">
      <c r="I7398" s="199"/>
      <c r="J7398" s="199"/>
    </row>
    <row r="7399" spans="9:10" x14ac:dyDescent="0.25">
      <c r="I7399" s="199"/>
      <c r="J7399" s="199"/>
    </row>
    <row r="7400" spans="9:10" x14ac:dyDescent="0.25">
      <c r="I7400" s="199"/>
      <c r="J7400" s="199"/>
    </row>
    <row r="7401" spans="9:10" x14ac:dyDescent="0.25">
      <c r="I7401" s="199"/>
      <c r="J7401" s="199"/>
    </row>
    <row r="7402" spans="9:10" x14ac:dyDescent="0.25">
      <c r="I7402" s="199"/>
      <c r="J7402" s="199"/>
    </row>
    <row r="7403" spans="9:10" x14ac:dyDescent="0.25">
      <c r="I7403" s="199"/>
      <c r="J7403" s="199"/>
    </row>
    <row r="7404" spans="9:10" x14ac:dyDescent="0.25">
      <c r="I7404" s="199"/>
      <c r="J7404" s="199"/>
    </row>
    <row r="7405" spans="9:10" x14ac:dyDescent="0.25">
      <c r="I7405" s="199"/>
      <c r="J7405" s="199"/>
    </row>
    <row r="7406" spans="9:10" x14ac:dyDescent="0.25">
      <c r="I7406" s="199"/>
      <c r="J7406" s="199"/>
    </row>
    <row r="7407" spans="9:10" x14ac:dyDescent="0.25">
      <c r="I7407" s="199"/>
      <c r="J7407" s="199"/>
    </row>
    <row r="7408" spans="9:10" x14ac:dyDescent="0.25">
      <c r="I7408" s="199"/>
      <c r="J7408" s="199"/>
    </row>
    <row r="7409" spans="9:10" x14ac:dyDescent="0.25">
      <c r="I7409" s="199"/>
      <c r="J7409" s="199"/>
    </row>
    <row r="7410" spans="9:10" x14ac:dyDescent="0.25">
      <c r="I7410" s="199"/>
      <c r="J7410" s="199"/>
    </row>
    <row r="7411" spans="9:10" x14ac:dyDescent="0.25">
      <c r="I7411" s="199"/>
      <c r="J7411" s="199"/>
    </row>
    <row r="7412" spans="9:10" x14ac:dyDescent="0.25">
      <c r="I7412" s="199"/>
      <c r="J7412" s="199"/>
    </row>
    <row r="7413" spans="9:10" x14ac:dyDescent="0.25">
      <c r="I7413" s="199"/>
      <c r="J7413" s="199"/>
    </row>
    <row r="7414" spans="9:10" x14ac:dyDescent="0.25">
      <c r="I7414" s="199"/>
      <c r="J7414" s="199"/>
    </row>
    <row r="7415" spans="9:10" x14ac:dyDescent="0.25">
      <c r="I7415" s="199"/>
      <c r="J7415" s="199"/>
    </row>
    <row r="7416" spans="9:10" x14ac:dyDescent="0.25">
      <c r="I7416" s="199"/>
      <c r="J7416" s="199"/>
    </row>
    <row r="7417" spans="9:10" x14ac:dyDescent="0.25">
      <c r="I7417" s="199"/>
      <c r="J7417" s="199"/>
    </row>
    <row r="7418" spans="9:10" x14ac:dyDescent="0.25">
      <c r="I7418" s="199"/>
      <c r="J7418" s="199"/>
    </row>
    <row r="7419" spans="9:10" x14ac:dyDescent="0.25">
      <c r="I7419" s="199"/>
      <c r="J7419" s="199"/>
    </row>
    <row r="7420" spans="9:10" x14ac:dyDescent="0.25">
      <c r="I7420" s="199"/>
      <c r="J7420" s="199"/>
    </row>
    <row r="7421" spans="9:10" x14ac:dyDescent="0.25">
      <c r="I7421" s="199"/>
      <c r="J7421" s="199"/>
    </row>
    <row r="7422" spans="9:10" x14ac:dyDescent="0.25">
      <c r="I7422" s="199"/>
      <c r="J7422" s="199"/>
    </row>
    <row r="7423" spans="9:10" x14ac:dyDescent="0.25">
      <c r="I7423" s="199"/>
      <c r="J7423" s="199"/>
    </row>
    <row r="7424" spans="9:10" x14ac:dyDescent="0.25">
      <c r="I7424" s="199"/>
      <c r="J7424" s="199"/>
    </row>
    <row r="7425" spans="9:10" x14ac:dyDescent="0.25">
      <c r="I7425" s="199"/>
      <c r="J7425" s="199"/>
    </row>
    <row r="7426" spans="9:10" x14ac:dyDescent="0.25">
      <c r="I7426" s="199"/>
      <c r="J7426" s="199"/>
    </row>
    <row r="7427" spans="9:10" x14ac:dyDescent="0.25">
      <c r="I7427" s="199"/>
      <c r="J7427" s="199"/>
    </row>
    <row r="7428" spans="9:10" x14ac:dyDescent="0.25">
      <c r="I7428" s="199"/>
      <c r="J7428" s="199"/>
    </row>
    <row r="7429" spans="9:10" x14ac:dyDescent="0.25">
      <c r="I7429" s="199"/>
      <c r="J7429" s="199"/>
    </row>
    <row r="7430" spans="9:10" x14ac:dyDescent="0.25">
      <c r="I7430" s="199"/>
      <c r="J7430" s="199"/>
    </row>
    <row r="7431" spans="9:10" x14ac:dyDescent="0.25">
      <c r="I7431" s="199"/>
      <c r="J7431" s="199"/>
    </row>
    <row r="7432" spans="9:10" x14ac:dyDescent="0.25">
      <c r="I7432" s="199"/>
      <c r="J7432" s="199"/>
    </row>
    <row r="7433" spans="9:10" x14ac:dyDescent="0.25">
      <c r="I7433" s="199"/>
      <c r="J7433" s="199"/>
    </row>
    <row r="7434" spans="9:10" x14ac:dyDescent="0.25">
      <c r="I7434" s="199"/>
      <c r="J7434" s="199"/>
    </row>
    <row r="7435" spans="9:10" x14ac:dyDescent="0.25">
      <c r="I7435" s="199"/>
      <c r="J7435" s="199"/>
    </row>
    <row r="7436" spans="9:10" x14ac:dyDescent="0.25">
      <c r="I7436" s="199"/>
      <c r="J7436" s="199"/>
    </row>
    <row r="7437" spans="9:10" x14ac:dyDescent="0.25">
      <c r="I7437" s="199"/>
      <c r="J7437" s="199"/>
    </row>
    <row r="7438" spans="9:10" x14ac:dyDescent="0.25">
      <c r="I7438" s="199"/>
      <c r="J7438" s="199"/>
    </row>
    <row r="7439" spans="9:10" x14ac:dyDescent="0.25">
      <c r="I7439" s="199"/>
      <c r="J7439" s="199"/>
    </row>
    <row r="7440" spans="9:10" x14ac:dyDescent="0.25">
      <c r="I7440" s="199"/>
      <c r="J7440" s="199"/>
    </row>
    <row r="7441" spans="9:10" x14ac:dyDescent="0.25">
      <c r="I7441" s="199"/>
      <c r="J7441" s="199"/>
    </row>
    <row r="7442" spans="9:10" x14ac:dyDescent="0.25">
      <c r="I7442" s="199"/>
      <c r="J7442" s="199"/>
    </row>
    <row r="7443" spans="9:10" x14ac:dyDescent="0.25">
      <c r="I7443" s="199"/>
      <c r="J7443" s="199"/>
    </row>
    <row r="7444" spans="9:10" x14ac:dyDescent="0.25">
      <c r="I7444" s="199"/>
      <c r="J7444" s="199"/>
    </row>
    <row r="7445" spans="9:10" x14ac:dyDescent="0.25">
      <c r="I7445" s="199"/>
      <c r="J7445" s="199"/>
    </row>
    <row r="7446" spans="9:10" x14ac:dyDescent="0.25">
      <c r="I7446" s="199"/>
      <c r="J7446" s="199"/>
    </row>
    <row r="7447" spans="9:10" x14ac:dyDescent="0.25">
      <c r="I7447" s="199"/>
      <c r="J7447" s="199"/>
    </row>
    <row r="7448" spans="9:10" x14ac:dyDescent="0.25">
      <c r="I7448" s="199"/>
      <c r="J7448" s="199"/>
    </row>
    <row r="7449" spans="9:10" x14ac:dyDescent="0.25">
      <c r="I7449" s="199"/>
      <c r="J7449" s="199"/>
    </row>
    <row r="7450" spans="9:10" x14ac:dyDescent="0.25">
      <c r="I7450" s="199"/>
      <c r="J7450" s="199"/>
    </row>
    <row r="7451" spans="9:10" x14ac:dyDescent="0.25">
      <c r="I7451" s="199"/>
      <c r="J7451" s="199"/>
    </row>
    <row r="7452" spans="9:10" x14ac:dyDescent="0.25">
      <c r="I7452" s="199"/>
      <c r="J7452" s="199"/>
    </row>
    <row r="7453" spans="9:10" x14ac:dyDescent="0.25">
      <c r="I7453" s="199"/>
      <c r="J7453" s="199"/>
    </row>
    <row r="7454" spans="9:10" x14ac:dyDescent="0.25">
      <c r="I7454" s="199"/>
      <c r="J7454" s="199"/>
    </row>
    <row r="7455" spans="9:10" x14ac:dyDescent="0.25">
      <c r="I7455" s="199"/>
      <c r="J7455" s="199"/>
    </row>
    <row r="7456" spans="9:10" x14ac:dyDescent="0.25">
      <c r="I7456" s="199"/>
      <c r="J7456" s="199"/>
    </row>
    <row r="7457" spans="9:10" x14ac:dyDescent="0.25">
      <c r="I7457" s="199"/>
      <c r="J7457" s="199"/>
    </row>
    <row r="7458" spans="9:10" x14ac:dyDescent="0.25">
      <c r="I7458" s="199"/>
      <c r="J7458" s="199"/>
    </row>
    <row r="7459" spans="9:10" x14ac:dyDescent="0.25">
      <c r="I7459" s="199"/>
      <c r="J7459" s="199"/>
    </row>
    <row r="7460" spans="9:10" x14ac:dyDescent="0.25">
      <c r="I7460" s="199"/>
      <c r="J7460" s="199"/>
    </row>
    <row r="7461" spans="9:10" x14ac:dyDescent="0.25">
      <c r="I7461" s="199"/>
      <c r="J7461" s="199"/>
    </row>
    <row r="7462" spans="9:10" x14ac:dyDescent="0.25">
      <c r="I7462" s="199"/>
      <c r="J7462" s="199"/>
    </row>
    <row r="7463" spans="9:10" x14ac:dyDescent="0.25">
      <c r="I7463" s="199"/>
      <c r="J7463" s="199"/>
    </row>
    <row r="7464" spans="9:10" x14ac:dyDescent="0.25">
      <c r="I7464" s="199"/>
      <c r="J7464" s="199"/>
    </row>
    <row r="7465" spans="9:10" x14ac:dyDescent="0.25">
      <c r="I7465" s="199"/>
      <c r="J7465" s="199"/>
    </row>
    <row r="7466" spans="9:10" x14ac:dyDescent="0.25">
      <c r="I7466" s="199"/>
      <c r="J7466" s="199"/>
    </row>
    <row r="7467" spans="9:10" x14ac:dyDescent="0.25">
      <c r="I7467" s="199"/>
      <c r="J7467" s="199"/>
    </row>
    <row r="7468" spans="9:10" x14ac:dyDescent="0.25">
      <c r="I7468" s="199"/>
      <c r="J7468" s="199"/>
    </row>
    <row r="7469" spans="9:10" x14ac:dyDescent="0.25">
      <c r="I7469" s="199"/>
      <c r="J7469" s="199"/>
    </row>
    <row r="7470" spans="9:10" x14ac:dyDescent="0.25">
      <c r="I7470" s="199"/>
      <c r="J7470" s="199"/>
    </row>
    <row r="7471" spans="9:10" x14ac:dyDescent="0.25">
      <c r="I7471" s="199"/>
      <c r="J7471" s="199"/>
    </row>
    <row r="7472" spans="9:10" x14ac:dyDescent="0.25">
      <c r="I7472" s="199"/>
      <c r="J7472" s="199"/>
    </row>
    <row r="7473" spans="9:10" x14ac:dyDescent="0.25">
      <c r="I7473" s="199"/>
      <c r="J7473" s="199"/>
    </row>
    <row r="7474" spans="9:10" x14ac:dyDescent="0.25">
      <c r="I7474" s="199"/>
      <c r="J7474" s="199"/>
    </row>
    <row r="7475" spans="9:10" x14ac:dyDescent="0.25">
      <c r="I7475" s="199"/>
      <c r="J7475" s="199"/>
    </row>
    <row r="7476" spans="9:10" x14ac:dyDescent="0.25">
      <c r="I7476" s="199"/>
      <c r="J7476" s="199"/>
    </row>
    <row r="7477" spans="9:10" x14ac:dyDescent="0.25">
      <c r="I7477" s="199"/>
      <c r="J7477" s="199"/>
    </row>
    <row r="7478" spans="9:10" x14ac:dyDescent="0.25">
      <c r="I7478" s="199"/>
      <c r="J7478" s="199"/>
    </row>
    <row r="7479" spans="9:10" x14ac:dyDescent="0.25">
      <c r="I7479" s="199"/>
      <c r="J7479" s="199"/>
    </row>
    <row r="7480" spans="9:10" x14ac:dyDescent="0.25">
      <c r="I7480" s="199"/>
      <c r="J7480" s="199"/>
    </row>
    <row r="7481" spans="9:10" x14ac:dyDescent="0.25">
      <c r="I7481" s="199"/>
      <c r="J7481" s="199"/>
    </row>
    <row r="7482" spans="9:10" x14ac:dyDescent="0.25">
      <c r="I7482" s="199"/>
      <c r="J7482" s="199"/>
    </row>
    <row r="7483" spans="9:10" x14ac:dyDescent="0.25">
      <c r="I7483" s="199"/>
      <c r="J7483" s="199"/>
    </row>
    <row r="7484" spans="9:10" x14ac:dyDescent="0.25">
      <c r="I7484" s="199"/>
      <c r="J7484" s="199"/>
    </row>
    <row r="7485" spans="9:10" x14ac:dyDescent="0.25">
      <c r="I7485" s="199"/>
      <c r="J7485" s="199"/>
    </row>
    <row r="7486" spans="9:10" x14ac:dyDescent="0.25">
      <c r="I7486" s="199"/>
      <c r="J7486" s="199"/>
    </row>
    <row r="7487" spans="9:10" x14ac:dyDescent="0.25">
      <c r="I7487" s="199"/>
      <c r="J7487" s="199"/>
    </row>
    <row r="7488" spans="9:10" x14ac:dyDescent="0.25">
      <c r="I7488" s="199"/>
      <c r="J7488" s="199"/>
    </row>
    <row r="7489" spans="9:10" x14ac:dyDescent="0.25">
      <c r="I7489" s="199"/>
      <c r="J7489" s="199"/>
    </row>
    <row r="7490" spans="9:10" x14ac:dyDescent="0.25">
      <c r="I7490" s="199"/>
      <c r="J7490" s="199"/>
    </row>
    <row r="7491" spans="9:10" x14ac:dyDescent="0.25">
      <c r="I7491" s="199"/>
      <c r="J7491" s="199"/>
    </row>
    <row r="7492" spans="9:10" x14ac:dyDescent="0.25">
      <c r="I7492" s="199"/>
      <c r="J7492" s="199"/>
    </row>
    <row r="7493" spans="9:10" x14ac:dyDescent="0.25">
      <c r="I7493" s="199"/>
      <c r="J7493" s="199"/>
    </row>
    <row r="7494" spans="9:10" x14ac:dyDescent="0.25">
      <c r="I7494" s="199"/>
      <c r="J7494" s="199"/>
    </row>
    <row r="7495" spans="9:10" x14ac:dyDescent="0.25">
      <c r="I7495" s="199"/>
      <c r="J7495" s="199"/>
    </row>
    <row r="7496" spans="9:10" x14ac:dyDescent="0.25">
      <c r="I7496" s="199"/>
      <c r="J7496" s="199"/>
    </row>
    <row r="7497" spans="9:10" x14ac:dyDescent="0.25">
      <c r="I7497" s="199"/>
      <c r="J7497" s="199"/>
    </row>
    <row r="7498" spans="9:10" x14ac:dyDescent="0.25">
      <c r="I7498" s="199"/>
      <c r="J7498" s="199"/>
    </row>
    <row r="7499" spans="9:10" x14ac:dyDescent="0.25">
      <c r="I7499" s="199"/>
      <c r="J7499" s="199"/>
    </row>
    <row r="7500" spans="9:10" x14ac:dyDescent="0.25">
      <c r="I7500" s="199"/>
      <c r="J7500" s="199"/>
    </row>
    <row r="7501" spans="9:10" x14ac:dyDescent="0.25">
      <c r="I7501" s="199"/>
      <c r="J7501" s="199"/>
    </row>
    <row r="7502" spans="9:10" x14ac:dyDescent="0.25">
      <c r="I7502" s="199"/>
      <c r="J7502" s="199"/>
    </row>
    <row r="7503" spans="9:10" x14ac:dyDescent="0.25">
      <c r="I7503" s="199"/>
      <c r="J7503" s="199"/>
    </row>
    <row r="7504" spans="9:10" x14ac:dyDescent="0.25">
      <c r="I7504" s="199"/>
      <c r="J7504" s="199"/>
    </row>
    <row r="7505" spans="9:10" x14ac:dyDescent="0.25">
      <c r="I7505" s="199"/>
      <c r="J7505" s="199"/>
    </row>
    <row r="7506" spans="9:10" x14ac:dyDescent="0.25">
      <c r="I7506" s="199"/>
      <c r="J7506" s="199"/>
    </row>
    <row r="7507" spans="9:10" x14ac:dyDescent="0.25">
      <c r="I7507" s="199"/>
      <c r="J7507" s="199"/>
    </row>
    <row r="7508" spans="9:10" x14ac:dyDescent="0.25">
      <c r="I7508" s="199"/>
      <c r="J7508" s="199"/>
    </row>
    <row r="7509" spans="9:10" x14ac:dyDescent="0.25">
      <c r="I7509" s="199"/>
      <c r="J7509" s="199"/>
    </row>
    <row r="7510" spans="9:10" x14ac:dyDescent="0.25">
      <c r="I7510" s="199"/>
      <c r="J7510" s="199"/>
    </row>
    <row r="7511" spans="9:10" x14ac:dyDescent="0.25">
      <c r="I7511" s="199"/>
      <c r="J7511" s="199"/>
    </row>
    <row r="7512" spans="9:10" x14ac:dyDescent="0.25">
      <c r="I7512" s="199"/>
      <c r="J7512" s="199"/>
    </row>
    <row r="7513" spans="9:10" x14ac:dyDescent="0.25">
      <c r="I7513" s="199"/>
      <c r="J7513" s="199"/>
    </row>
    <row r="7514" spans="9:10" x14ac:dyDescent="0.25">
      <c r="I7514" s="199"/>
      <c r="J7514" s="199"/>
    </row>
    <row r="7515" spans="9:10" x14ac:dyDescent="0.25">
      <c r="I7515" s="199"/>
      <c r="J7515" s="199"/>
    </row>
    <row r="7516" spans="9:10" x14ac:dyDescent="0.25">
      <c r="I7516" s="199"/>
      <c r="J7516" s="199"/>
    </row>
    <row r="7517" spans="9:10" x14ac:dyDescent="0.25">
      <c r="I7517" s="199"/>
      <c r="J7517" s="199"/>
    </row>
    <row r="7518" spans="9:10" x14ac:dyDescent="0.25">
      <c r="I7518" s="199"/>
      <c r="J7518" s="199"/>
    </row>
    <row r="7519" spans="9:10" x14ac:dyDescent="0.25">
      <c r="I7519" s="199"/>
      <c r="J7519" s="199"/>
    </row>
    <row r="7520" spans="9:10" x14ac:dyDescent="0.25">
      <c r="I7520" s="199"/>
      <c r="J7520" s="199"/>
    </row>
    <row r="7521" spans="9:10" x14ac:dyDescent="0.25">
      <c r="I7521" s="199"/>
      <c r="J7521" s="199"/>
    </row>
    <row r="7522" spans="9:10" x14ac:dyDescent="0.25">
      <c r="I7522" s="199"/>
      <c r="J7522" s="199"/>
    </row>
    <row r="7523" spans="9:10" x14ac:dyDescent="0.25">
      <c r="I7523" s="199"/>
      <c r="J7523" s="199"/>
    </row>
    <row r="7524" spans="9:10" x14ac:dyDescent="0.25">
      <c r="I7524" s="199"/>
      <c r="J7524" s="199"/>
    </row>
    <row r="7525" spans="9:10" x14ac:dyDescent="0.25">
      <c r="I7525" s="199"/>
      <c r="J7525" s="199"/>
    </row>
    <row r="7526" spans="9:10" x14ac:dyDescent="0.25">
      <c r="I7526" s="199"/>
      <c r="J7526" s="199"/>
    </row>
    <row r="7527" spans="9:10" x14ac:dyDescent="0.25">
      <c r="I7527" s="199"/>
      <c r="J7527" s="199"/>
    </row>
    <row r="7528" spans="9:10" x14ac:dyDescent="0.25">
      <c r="I7528" s="199"/>
      <c r="J7528" s="199"/>
    </row>
    <row r="7529" spans="9:10" x14ac:dyDescent="0.25">
      <c r="I7529" s="199"/>
      <c r="J7529" s="199"/>
    </row>
    <row r="7530" spans="9:10" x14ac:dyDescent="0.25">
      <c r="I7530" s="199"/>
      <c r="J7530" s="199"/>
    </row>
    <row r="7531" spans="9:10" x14ac:dyDescent="0.25">
      <c r="I7531" s="199"/>
      <c r="J7531" s="199"/>
    </row>
    <row r="7532" spans="9:10" x14ac:dyDescent="0.25">
      <c r="I7532" s="199"/>
      <c r="J7532" s="199"/>
    </row>
    <row r="7533" spans="9:10" x14ac:dyDescent="0.25">
      <c r="I7533" s="199"/>
      <c r="J7533" s="199"/>
    </row>
    <row r="7534" spans="9:10" x14ac:dyDescent="0.25">
      <c r="I7534" s="199"/>
      <c r="J7534" s="199"/>
    </row>
    <row r="7535" spans="9:10" x14ac:dyDescent="0.25">
      <c r="I7535" s="199"/>
      <c r="J7535" s="199"/>
    </row>
    <row r="7536" spans="9:10" x14ac:dyDescent="0.25">
      <c r="I7536" s="199"/>
      <c r="J7536" s="199"/>
    </row>
    <row r="7537" spans="9:10" x14ac:dyDescent="0.25">
      <c r="I7537" s="199"/>
      <c r="J7537" s="199"/>
    </row>
    <row r="7538" spans="9:10" x14ac:dyDescent="0.25">
      <c r="I7538" s="199"/>
      <c r="J7538" s="199"/>
    </row>
    <row r="7539" spans="9:10" x14ac:dyDescent="0.25">
      <c r="I7539" s="199"/>
      <c r="J7539" s="199"/>
    </row>
    <row r="7540" spans="9:10" x14ac:dyDescent="0.25">
      <c r="I7540" s="199"/>
      <c r="J7540" s="199"/>
    </row>
    <row r="7541" spans="9:10" x14ac:dyDescent="0.25">
      <c r="I7541" s="199"/>
      <c r="J7541" s="199"/>
    </row>
    <row r="7542" spans="9:10" x14ac:dyDescent="0.25">
      <c r="I7542" s="199"/>
      <c r="J7542" s="199"/>
    </row>
    <row r="7543" spans="9:10" x14ac:dyDescent="0.25">
      <c r="I7543" s="199"/>
      <c r="J7543" s="199"/>
    </row>
    <row r="7544" spans="9:10" x14ac:dyDescent="0.25">
      <c r="I7544" s="199"/>
      <c r="J7544" s="199"/>
    </row>
    <row r="7545" spans="9:10" x14ac:dyDescent="0.25">
      <c r="I7545" s="199"/>
      <c r="J7545" s="199"/>
    </row>
    <row r="7546" spans="9:10" x14ac:dyDescent="0.25">
      <c r="I7546" s="199"/>
      <c r="J7546" s="199"/>
    </row>
    <row r="7547" spans="9:10" x14ac:dyDescent="0.25">
      <c r="I7547" s="199"/>
      <c r="J7547" s="199"/>
    </row>
    <row r="7548" spans="9:10" x14ac:dyDescent="0.25">
      <c r="I7548" s="199"/>
      <c r="J7548" s="199"/>
    </row>
    <row r="7549" spans="9:10" x14ac:dyDescent="0.25">
      <c r="I7549" s="199"/>
      <c r="J7549" s="199"/>
    </row>
    <row r="7550" spans="9:10" x14ac:dyDescent="0.25">
      <c r="I7550" s="199"/>
      <c r="J7550" s="199"/>
    </row>
    <row r="7551" spans="9:10" x14ac:dyDescent="0.25">
      <c r="I7551" s="199"/>
      <c r="J7551" s="199"/>
    </row>
    <row r="7552" spans="9:10" x14ac:dyDescent="0.25">
      <c r="I7552" s="199"/>
      <c r="J7552" s="199"/>
    </row>
    <row r="7553" spans="9:10" x14ac:dyDescent="0.25">
      <c r="I7553" s="199"/>
      <c r="J7553" s="199"/>
    </row>
    <row r="7554" spans="9:10" x14ac:dyDescent="0.25">
      <c r="I7554" s="199"/>
      <c r="J7554" s="199"/>
    </row>
    <row r="7555" spans="9:10" x14ac:dyDescent="0.25">
      <c r="I7555" s="199"/>
      <c r="J7555" s="199"/>
    </row>
    <row r="7556" spans="9:10" x14ac:dyDescent="0.25">
      <c r="I7556" s="199"/>
      <c r="J7556" s="199"/>
    </row>
    <row r="7557" spans="9:10" x14ac:dyDescent="0.25">
      <c r="I7557" s="199"/>
      <c r="J7557" s="199"/>
    </row>
    <row r="7558" spans="9:10" x14ac:dyDescent="0.25">
      <c r="I7558" s="199"/>
      <c r="J7558" s="199"/>
    </row>
    <row r="7559" spans="9:10" x14ac:dyDescent="0.25">
      <c r="I7559" s="199"/>
      <c r="J7559" s="199"/>
    </row>
    <row r="7560" spans="9:10" x14ac:dyDescent="0.25">
      <c r="I7560" s="199"/>
      <c r="J7560" s="199"/>
    </row>
    <row r="7561" spans="9:10" x14ac:dyDescent="0.25">
      <c r="I7561" s="199"/>
      <c r="J7561" s="199"/>
    </row>
    <row r="7562" spans="9:10" x14ac:dyDescent="0.25">
      <c r="I7562" s="199"/>
      <c r="J7562" s="199"/>
    </row>
    <row r="7563" spans="9:10" x14ac:dyDescent="0.25">
      <c r="I7563" s="199"/>
      <c r="J7563" s="199"/>
    </row>
    <row r="7564" spans="9:10" x14ac:dyDescent="0.25">
      <c r="I7564" s="199"/>
      <c r="J7564" s="199"/>
    </row>
    <row r="7565" spans="9:10" x14ac:dyDescent="0.25">
      <c r="I7565" s="199"/>
      <c r="J7565" s="199"/>
    </row>
    <row r="7566" spans="9:10" x14ac:dyDescent="0.25">
      <c r="I7566" s="199"/>
      <c r="J7566" s="199"/>
    </row>
    <row r="7567" spans="9:10" x14ac:dyDescent="0.25">
      <c r="I7567" s="199"/>
      <c r="J7567" s="199"/>
    </row>
    <row r="7568" spans="9:10" x14ac:dyDescent="0.25">
      <c r="I7568" s="199"/>
      <c r="J7568" s="199"/>
    </row>
    <row r="7569" spans="9:10" x14ac:dyDescent="0.25">
      <c r="I7569" s="199"/>
      <c r="J7569" s="199"/>
    </row>
    <row r="7570" spans="9:10" x14ac:dyDescent="0.25">
      <c r="I7570" s="199"/>
      <c r="J7570" s="199"/>
    </row>
    <row r="7571" spans="9:10" x14ac:dyDescent="0.25">
      <c r="I7571" s="199"/>
      <c r="J7571" s="199"/>
    </row>
    <row r="7572" spans="9:10" x14ac:dyDescent="0.25">
      <c r="I7572" s="199"/>
      <c r="J7572" s="199"/>
    </row>
    <row r="7573" spans="9:10" x14ac:dyDescent="0.25">
      <c r="I7573" s="199"/>
      <c r="J7573" s="199"/>
    </row>
    <row r="7574" spans="9:10" x14ac:dyDescent="0.25">
      <c r="I7574" s="199"/>
      <c r="J7574" s="199"/>
    </row>
    <row r="7575" spans="9:10" x14ac:dyDescent="0.25">
      <c r="I7575" s="199"/>
      <c r="J7575" s="199"/>
    </row>
    <row r="7576" spans="9:10" x14ac:dyDescent="0.25">
      <c r="I7576" s="199"/>
      <c r="J7576" s="199"/>
    </row>
    <row r="7577" spans="9:10" x14ac:dyDescent="0.25">
      <c r="I7577" s="199"/>
      <c r="J7577" s="199"/>
    </row>
    <row r="7578" spans="9:10" x14ac:dyDescent="0.25">
      <c r="I7578" s="199"/>
      <c r="J7578" s="199"/>
    </row>
    <row r="7579" spans="9:10" x14ac:dyDescent="0.25">
      <c r="I7579" s="199"/>
      <c r="J7579" s="199"/>
    </row>
    <row r="7580" spans="9:10" x14ac:dyDescent="0.25">
      <c r="I7580" s="199"/>
      <c r="J7580" s="199"/>
    </row>
    <row r="7581" spans="9:10" x14ac:dyDescent="0.25">
      <c r="I7581" s="199"/>
      <c r="J7581" s="199"/>
    </row>
    <row r="7582" spans="9:10" x14ac:dyDescent="0.25">
      <c r="I7582" s="199"/>
      <c r="J7582" s="199"/>
    </row>
    <row r="7583" spans="9:10" x14ac:dyDescent="0.25">
      <c r="I7583" s="199"/>
      <c r="J7583" s="199"/>
    </row>
    <row r="7584" spans="9:10" x14ac:dyDescent="0.25">
      <c r="I7584" s="199"/>
      <c r="J7584" s="199"/>
    </row>
    <row r="7585" spans="9:10" x14ac:dyDescent="0.25">
      <c r="I7585" s="199"/>
      <c r="J7585" s="199"/>
    </row>
    <row r="7586" spans="9:10" x14ac:dyDescent="0.25">
      <c r="I7586" s="199"/>
      <c r="J7586" s="199"/>
    </row>
    <row r="7587" spans="9:10" x14ac:dyDescent="0.25">
      <c r="I7587" s="199"/>
      <c r="J7587" s="199"/>
    </row>
    <row r="7588" spans="9:10" x14ac:dyDescent="0.25">
      <c r="I7588" s="199"/>
      <c r="J7588" s="199"/>
    </row>
    <row r="7589" spans="9:10" x14ac:dyDescent="0.25">
      <c r="I7589" s="199"/>
      <c r="J7589" s="199"/>
    </row>
    <row r="7590" spans="9:10" x14ac:dyDescent="0.25">
      <c r="I7590" s="199"/>
      <c r="J7590" s="199"/>
    </row>
    <row r="7591" spans="9:10" x14ac:dyDescent="0.25">
      <c r="I7591" s="199"/>
      <c r="J7591" s="199"/>
    </row>
    <row r="7592" spans="9:10" x14ac:dyDescent="0.25">
      <c r="I7592" s="199"/>
      <c r="J7592" s="199"/>
    </row>
    <row r="7593" spans="9:10" x14ac:dyDescent="0.25">
      <c r="I7593" s="199"/>
      <c r="J7593" s="199"/>
    </row>
    <row r="7594" spans="9:10" x14ac:dyDescent="0.25">
      <c r="I7594" s="199"/>
      <c r="J7594" s="199"/>
    </row>
    <row r="7595" spans="9:10" x14ac:dyDescent="0.25">
      <c r="I7595" s="199"/>
      <c r="J7595" s="199"/>
    </row>
    <row r="7596" spans="9:10" x14ac:dyDescent="0.25">
      <c r="I7596" s="199"/>
      <c r="J7596" s="199"/>
    </row>
    <row r="7597" spans="9:10" x14ac:dyDescent="0.25">
      <c r="I7597" s="199"/>
      <c r="J7597" s="199"/>
    </row>
    <row r="7598" spans="9:10" x14ac:dyDescent="0.25">
      <c r="I7598" s="199"/>
      <c r="J7598" s="199"/>
    </row>
    <row r="7599" spans="9:10" x14ac:dyDescent="0.25">
      <c r="I7599" s="199"/>
      <c r="J7599" s="199"/>
    </row>
    <row r="7600" spans="9:10" x14ac:dyDescent="0.25">
      <c r="I7600" s="199"/>
      <c r="J7600" s="199"/>
    </row>
    <row r="7601" spans="9:10" x14ac:dyDescent="0.25">
      <c r="I7601" s="199"/>
      <c r="J7601" s="199"/>
    </row>
    <row r="7602" spans="9:10" x14ac:dyDescent="0.25">
      <c r="I7602" s="199"/>
      <c r="J7602" s="199"/>
    </row>
    <row r="7603" spans="9:10" x14ac:dyDescent="0.25">
      <c r="I7603" s="199"/>
      <c r="J7603" s="199"/>
    </row>
    <row r="7604" spans="9:10" x14ac:dyDescent="0.25">
      <c r="I7604" s="199"/>
      <c r="J7604" s="199"/>
    </row>
    <row r="7605" spans="9:10" x14ac:dyDescent="0.25">
      <c r="I7605" s="199"/>
      <c r="J7605" s="199"/>
    </row>
    <row r="7606" spans="9:10" x14ac:dyDescent="0.25">
      <c r="I7606" s="199"/>
      <c r="J7606" s="199"/>
    </row>
    <row r="7607" spans="9:10" x14ac:dyDescent="0.25">
      <c r="I7607" s="199"/>
      <c r="J7607" s="199"/>
    </row>
    <row r="7608" spans="9:10" x14ac:dyDescent="0.25">
      <c r="I7608" s="199"/>
      <c r="J7608" s="199"/>
    </row>
    <row r="7609" spans="9:10" x14ac:dyDescent="0.25">
      <c r="I7609" s="199"/>
      <c r="J7609" s="199"/>
    </row>
    <row r="7610" spans="9:10" x14ac:dyDescent="0.25">
      <c r="I7610" s="199"/>
      <c r="J7610" s="199"/>
    </row>
    <row r="7611" spans="9:10" x14ac:dyDescent="0.25">
      <c r="I7611" s="199"/>
      <c r="J7611" s="199"/>
    </row>
    <row r="7612" spans="9:10" x14ac:dyDescent="0.25">
      <c r="I7612" s="199"/>
      <c r="J7612" s="199"/>
    </row>
    <row r="7613" spans="9:10" x14ac:dyDescent="0.25">
      <c r="I7613" s="199"/>
      <c r="J7613" s="199"/>
    </row>
    <row r="7614" spans="9:10" x14ac:dyDescent="0.25">
      <c r="I7614" s="199"/>
      <c r="J7614" s="199"/>
    </row>
    <row r="7615" spans="9:10" x14ac:dyDescent="0.25">
      <c r="I7615" s="199"/>
      <c r="J7615" s="199"/>
    </row>
    <row r="7616" spans="9:10" x14ac:dyDescent="0.25">
      <c r="I7616" s="199"/>
      <c r="J7616" s="199"/>
    </row>
    <row r="7617" spans="9:10" x14ac:dyDescent="0.25">
      <c r="I7617" s="199"/>
      <c r="J7617" s="199"/>
    </row>
    <row r="7618" spans="9:10" x14ac:dyDescent="0.25">
      <c r="I7618" s="199"/>
      <c r="J7618" s="199"/>
    </row>
    <row r="7619" spans="9:10" x14ac:dyDescent="0.25">
      <c r="I7619" s="199"/>
      <c r="J7619" s="199"/>
    </row>
    <row r="7620" spans="9:10" x14ac:dyDescent="0.25">
      <c r="I7620" s="199"/>
      <c r="J7620" s="199"/>
    </row>
    <row r="7621" spans="9:10" x14ac:dyDescent="0.25">
      <c r="I7621" s="199"/>
      <c r="J7621" s="199"/>
    </row>
    <row r="7622" spans="9:10" x14ac:dyDescent="0.25">
      <c r="I7622" s="199"/>
      <c r="J7622" s="199"/>
    </row>
    <row r="7623" spans="9:10" x14ac:dyDescent="0.25">
      <c r="I7623" s="199"/>
      <c r="J7623" s="199"/>
    </row>
    <row r="7624" spans="9:10" x14ac:dyDescent="0.25">
      <c r="I7624" s="199"/>
      <c r="J7624" s="199"/>
    </row>
    <row r="7625" spans="9:10" x14ac:dyDescent="0.25">
      <c r="I7625" s="199"/>
      <c r="J7625" s="199"/>
    </row>
    <row r="7626" spans="9:10" x14ac:dyDescent="0.25">
      <c r="I7626" s="199"/>
      <c r="J7626" s="199"/>
    </row>
    <row r="7627" spans="9:10" x14ac:dyDescent="0.25">
      <c r="I7627" s="199"/>
      <c r="J7627" s="199"/>
    </row>
    <row r="7628" spans="9:10" x14ac:dyDescent="0.25">
      <c r="I7628" s="199"/>
      <c r="J7628" s="199"/>
    </row>
    <row r="7629" spans="9:10" x14ac:dyDescent="0.25">
      <c r="I7629" s="199"/>
      <c r="J7629" s="199"/>
    </row>
    <row r="7630" spans="9:10" x14ac:dyDescent="0.25">
      <c r="I7630" s="199"/>
      <c r="J7630" s="199"/>
    </row>
    <row r="7631" spans="9:10" x14ac:dyDescent="0.25">
      <c r="I7631" s="199"/>
      <c r="J7631" s="199"/>
    </row>
    <row r="7632" spans="9:10" x14ac:dyDescent="0.25">
      <c r="I7632" s="199"/>
      <c r="J7632" s="199"/>
    </row>
    <row r="7633" spans="9:10" x14ac:dyDescent="0.25">
      <c r="I7633" s="199"/>
      <c r="J7633" s="199"/>
    </row>
    <row r="7634" spans="9:10" x14ac:dyDescent="0.25">
      <c r="I7634" s="199"/>
      <c r="J7634" s="199"/>
    </row>
    <row r="7635" spans="9:10" x14ac:dyDescent="0.25">
      <c r="I7635" s="199"/>
      <c r="J7635" s="199"/>
    </row>
    <row r="7636" spans="9:10" x14ac:dyDescent="0.25">
      <c r="I7636" s="199"/>
      <c r="J7636" s="199"/>
    </row>
    <row r="7637" spans="9:10" x14ac:dyDescent="0.25">
      <c r="I7637" s="199"/>
      <c r="J7637" s="199"/>
    </row>
    <row r="7638" spans="9:10" x14ac:dyDescent="0.25">
      <c r="I7638" s="199"/>
      <c r="J7638" s="199"/>
    </row>
    <row r="7639" spans="9:10" x14ac:dyDescent="0.25">
      <c r="I7639" s="199"/>
      <c r="J7639" s="199"/>
    </row>
    <row r="7640" spans="9:10" x14ac:dyDescent="0.25">
      <c r="I7640" s="199"/>
      <c r="J7640" s="199"/>
    </row>
    <row r="7641" spans="9:10" x14ac:dyDescent="0.25">
      <c r="I7641" s="199"/>
      <c r="J7641" s="199"/>
    </row>
    <row r="7642" spans="9:10" x14ac:dyDescent="0.25">
      <c r="I7642" s="199"/>
      <c r="J7642" s="199"/>
    </row>
    <row r="7643" spans="9:10" x14ac:dyDescent="0.25">
      <c r="I7643" s="199"/>
      <c r="J7643" s="199"/>
    </row>
    <row r="7644" spans="9:10" x14ac:dyDescent="0.25">
      <c r="I7644" s="199"/>
      <c r="J7644" s="199"/>
    </row>
    <row r="7645" spans="9:10" x14ac:dyDescent="0.25">
      <c r="I7645" s="199"/>
      <c r="J7645" s="199"/>
    </row>
    <row r="7646" spans="9:10" x14ac:dyDescent="0.25">
      <c r="I7646" s="199"/>
      <c r="J7646" s="199"/>
    </row>
    <row r="7647" spans="9:10" x14ac:dyDescent="0.25">
      <c r="I7647" s="199"/>
      <c r="J7647" s="199"/>
    </row>
    <row r="7648" spans="9:10" x14ac:dyDescent="0.25">
      <c r="I7648" s="199"/>
      <c r="J7648" s="199"/>
    </row>
    <row r="7649" spans="9:10" x14ac:dyDescent="0.25">
      <c r="I7649" s="199"/>
      <c r="J7649" s="199"/>
    </row>
    <row r="7650" spans="9:10" x14ac:dyDescent="0.25">
      <c r="I7650" s="199"/>
      <c r="J7650" s="199"/>
    </row>
    <row r="7651" spans="9:10" x14ac:dyDescent="0.25">
      <c r="I7651" s="199"/>
      <c r="J7651" s="199"/>
    </row>
    <row r="7652" spans="9:10" x14ac:dyDescent="0.25">
      <c r="I7652" s="199"/>
      <c r="J7652" s="199"/>
    </row>
    <row r="7653" spans="9:10" x14ac:dyDescent="0.25">
      <c r="I7653" s="199"/>
      <c r="J7653" s="199"/>
    </row>
    <row r="7654" spans="9:10" x14ac:dyDescent="0.25">
      <c r="I7654" s="199"/>
      <c r="J7654" s="199"/>
    </row>
    <row r="7655" spans="9:10" x14ac:dyDescent="0.25">
      <c r="I7655" s="199"/>
      <c r="J7655" s="199"/>
    </row>
    <row r="7656" spans="9:10" x14ac:dyDescent="0.25">
      <c r="I7656" s="199"/>
      <c r="J7656" s="199"/>
    </row>
    <row r="7657" spans="9:10" x14ac:dyDescent="0.25">
      <c r="I7657" s="199"/>
      <c r="J7657" s="199"/>
    </row>
    <row r="7658" spans="9:10" x14ac:dyDescent="0.25">
      <c r="I7658" s="199"/>
      <c r="J7658" s="199"/>
    </row>
    <row r="7659" spans="9:10" x14ac:dyDescent="0.25">
      <c r="I7659" s="199"/>
      <c r="J7659" s="199"/>
    </row>
    <row r="7660" spans="9:10" x14ac:dyDescent="0.25">
      <c r="I7660" s="199"/>
      <c r="J7660" s="199"/>
    </row>
    <row r="7661" spans="9:10" x14ac:dyDescent="0.25">
      <c r="I7661" s="199"/>
      <c r="J7661" s="199"/>
    </row>
    <row r="7662" spans="9:10" x14ac:dyDescent="0.25">
      <c r="I7662" s="199"/>
      <c r="J7662" s="199"/>
    </row>
    <row r="7663" spans="9:10" x14ac:dyDescent="0.25">
      <c r="I7663" s="199"/>
      <c r="J7663" s="199"/>
    </row>
    <row r="7664" spans="9:10" x14ac:dyDescent="0.25">
      <c r="I7664" s="199"/>
      <c r="J7664" s="199"/>
    </row>
    <row r="7665" spans="9:10" x14ac:dyDescent="0.25">
      <c r="I7665" s="199"/>
      <c r="J7665" s="199"/>
    </row>
    <row r="7666" spans="9:10" x14ac:dyDescent="0.25">
      <c r="I7666" s="199"/>
      <c r="J7666" s="199"/>
    </row>
    <row r="7667" spans="9:10" x14ac:dyDescent="0.25">
      <c r="I7667" s="199"/>
      <c r="J7667" s="199"/>
    </row>
    <row r="7668" spans="9:10" x14ac:dyDescent="0.25">
      <c r="I7668" s="199"/>
      <c r="J7668" s="199"/>
    </row>
    <row r="7669" spans="9:10" x14ac:dyDescent="0.25">
      <c r="I7669" s="199"/>
      <c r="J7669" s="199"/>
    </row>
    <row r="7670" spans="9:10" x14ac:dyDescent="0.25">
      <c r="I7670" s="199"/>
      <c r="J7670" s="199"/>
    </row>
    <row r="7671" spans="9:10" x14ac:dyDescent="0.25">
      <c r="I7671" s="199"/>
      <c r="J7671" s="199"/>
    </row>
    <row r="7672" spans="9:10" x14ac:dyDescent="0.25">
      <c r="I7672" s="199"/>
      <c r="J7672" s="199"/>
    </row>
    <row r="7673" spans="9:10" x14ac:dyDescent="0.25">
      <c r="I7673" s="199"/>
      <c r="J7673" s="199"/>
    </row>
    <row r="7674" spans="9:10" x14ac:dyDescent="0.25">
      <c r="I7674" s="199"/>
      <c r="J7674" s="199"/>
    </row>
    <row r="7675" spans="9:10" x14ac:dyDescent="0.25">
      <c r="I7675" s="199"/>
      <c r="J7675" s="199"/>
    </row>
    <row r="7676" spans="9:10" x14ac:dyDescent="0.25">
      <c r="I7676" s="199"/>
      <c r="J7676" s="199"/>
    </row>
    <row r="7677" spans="9:10" x14ac:dyDescent="0.25">
      <c r="I7677" s="199"/>
      <c r="J7677" s="199"/>
    </row>
    <row r="7678" spans="9:10" x14ac:dyDescent="0.25">
      <c r="I7678" s="199"/>
      <c r="J7678" s="199"/>
    </row>
    <row r="7679" spans="9:10" x14ac:dyDescent="0.25">
      <c r="I7679" s="199"/>
      <c r="J7679" s="199"/>
    </row>
    <row r="7680" spans="9:10" x14ac:dyDescent="0.25">
      <c r="I7680" s="199"/>
      <c r="J7680" s="199"/>
    </row>
    <row r="7681" spans="9:10" x14ac:dyDescent="0.25">
      <c r="I7681" s="199"/>
      <c r="J7681" s="199"/>
    </row>
    <row r="7682" spans="9:10" x14ac:dyDescent="0.25">
      <c r="I7682" s="199"/>
      <c r="J7682" s="199"/>
    </row>
    <row r="7683" spans="9:10" x14ac:dyDescent="0.25">
      <c r="I7683" s="199"/>
      <c r="J7683" s="199"/>
    </row>
    <row r="7684" spans="9:10" x14ac:dyDescent="0.25">
      <c r="I7684" s="199"/>
      <c r="J7684" s="199"/>
    </row>
    <row r="7685" spans="9:10" x14ac:dyDescent="0.25">
      <c r="I7685" s="199"/>
      <c r="J7685" s="199"/>
    </row>
    <row r="7686" spans="9:10" x14ac:dyDescent="0.25">
      <c r="I7686" s="199"/>
      <c r="J7686" s="199"/>
    </row>
    <row r="7687" spans="9:10" x14ac:dyDescent="0.25">
      <c r="I7687" s="199"/>
      <c r="J7687" s="199"/>
    </row>
    <row r="7688" spans="9:10" x14ac:dyDescent="0.25">
      <c r="I7688" s="199"/>
      <c r="J7688" s="199"/>
    </row>
    <row r="7689" spans="9:10" x14ac:dyDescent="0.25">
      <c r="I7689" s="199"/>
      <c r="J7689" s="199"/>
    </row>
    <row r="7690" spans="9:10" x14ac:dyDescent="0.25">
      <c r="I7690" s="199"/>
      <c r="J7690" s="199"/>
    </row>
    <row r="7691" spans="9:10" x14ac:dyDescent="0.25">
      <c r="I7691" s="199"/>
      <c r="J7691" s="199"/>
    </row>
    <row r="7692" spans="9:10" x14ac:dyDescent="0.25">
      <c r="I7692" s="199"/>
      <c r="J7692" s="199"/>
    </row>
    <row r="7693" spans="9:10" x14ac:dyDescent="0.25">
      <c r="I7693" s="199"/>
      <c r="J7693" s="199"/>
    </row>
    <row r="7694" spans="9:10" x14ac:dyDescent="0.25">
      <c r="I7694" s="199"/>
      <c r="J7694" s="199"/>
    </row>
    <row r="7695" spans="9:10" x14ac:dyDescent="0.25">
      <c r="I7695" s="199"/>
      <c r="J7695" s="199"/>
    </row>
    <row r="7696" spans="9:10" x14ac:dyDescent="0.25">
      <c r="I7696" s="199"/>
      <c r="J7696" s="199"/>
    </row>
    <row r="7697" spans="9:10" x14ac:dyDescent="0.25">
      <c r="I7697" s="199"/>
      <c r="J7697" s="199"/>
    </row>
    <row r="7698" spans="9:10" x14ac:dyDescent="0.25">
      <c r="I7698" s="199"/>
      <c r="J7698" s="199"/>
    </row>
    <row r="7699" spans="9:10" x14ac:dyDescent="0.25">
      <c r="I7699" s="199"/>
      <c r="J7699" s="199"/>
    </row>
    <row r="7700" spans="9:10" x14ac:dyDescent="0.25">
      <c r="I7700" s="199"/>
      <c r="J7700" s="199"/>
    </row>
    <row r="7701" spans="9:10" x14ac:dyDescent="0.25">
      <c r="I7701" s="199"/>
      <c r="J7701" s="199"/>
    </row>
    <row r="7702" spans="9:10" x14ac:dyDescent="0.25">
      <c r="I7702" s="199"/>
      <c r="J7702" s="199"/>
    </row>
    <row r="7703" spans="9:10" x14ac:dyDescent="0.25">
      <c r="I7703" s="199"/>
      <c r="J7703" s="199"/>
    </row>
    <row r="7704" spans="9:10" x14ac:dyDescent="0.25">
      <c r="I7704" s="199"/>
      <c r="J7704" s="199"/>
    </row>
    <row r="7705" spans="9:10" x14ac:dyDescent="0.25">
      <c r="I7705" s="199"/>
      <c r="J7705" s="199"/>
    </row>
    <row r="7706" spans="9:10" x14ac:dyDescent="0.25">
      <c r="I7706" s="199"/>
      <c r="J7706" s="199"/>
    </row>
    <row r="7707" spans="9:10" x14ac:dyDescent="0.25">
      <c r="I7707" s="199"/>
      <c r="J7707" s="199"/>
    </row>
    <row r="7708" spans="9:10" x14ac:dyDescent="0.25">
      <c r="I7708" s="199"/>
      <c r="J7708" s="199"/>
    </row>
    <row r="7709" spans="9:10" x14ac:dyDescent="0.25">
      <c r="I7709" s="199"/>
      <c r="J7709" s="199"/>
    </row>
    <row r="7710" spans="9:10" x14ac:dyDescent="0.25">
      <c r="I7710" s="199"/>
      <c r="J7710" s="199"/>
    </row>
    <row r="7711" spans="9:10" x14ac:dyDescent="0.25">
      <c r="I7711" s="199"/>
      <c r="J7711" s="199"/>
    </row>
    <row r="7712" spans="9:10" x14ac:dyDescent="0.25">
      <c r="I7712" s="199"/>
      <c r="J7712" s="199"/>
    </row>
    <row r="7713" spans="9:10" x14ac:dyDescent="0.25">
      <c r="I7713" s="199"/>
      <c r="J7713" s="199"/>
    </row>
    <row r="7714" spans="9:10" x14ac:dyDescent="0.25">
      <c r="I7714" s="199"/>
      <c r="J7714" s="199"/>
    </row>
    <row r="7715" spans="9:10" x14ac:dyDescent="0.25">
      <c r="I7715" s="199"/>
      <c r="J7715" s="199"/>
    </row>
    <row r="7716" spans="9:10" x14ac:dyDescent="0.25">
      <c r="I7716" s="199"/>
      <c r="J7716" s="199"/>
    </row>
    <row r="7717" spans="9:10" x14ac:dyDescent="0.25">
      <c r="I7717" s="199"/>
      <c r="J7717" s="199"/>
    </row>
    <row r="7718" spans="9:10" x14ac:dyDescent="0.25">
      <c r="I7718" s="199"/>
      <c r="J7718" s="199"/>
    </row>
    <row r="7719" spans="9:10" x14ac:dyDescent="0.25">
      <c r="I7719" s="199"/>
      <c r="J7719" s="199"/>
    </row>
    <row r="7720" spans="9:10" x14ac:dyDescent="0.25">
      <c r="I7720" s="199"/>
      <c r="J7720" s="199"/>
    </row>
    <row r="7721" spans="9:10" x14ac:dyDescent="0.25">
      <c r="I7721" s="199"/>
      <c r="J7721" s="199"/>
    </row>
    <row r="7722" spans="9:10" x14ac:dyDescent="0.25">
      <c r="I7722" s="199"/>
      <c r="J7722" s="199"/>
    </row>
    <row r="7723" spans="9:10" x14ac:dyDescent="0.25">
      <c r="I7723" s="199"/>
      <c r="J7723" s="199"/>
    </row>
    <row r="7724" spans="9:10" x14ac:dyDescent="0.25">
      <c r="I7724" s="199"/>
      <c r="J7724" s="199"/>
    </row>
    <row r="7725" spans="9:10" x14ac:dyDescent="0.25">
      <c r="I7725" s="199"/>
      <c r="J7725" s="199"/>
    </row>
    <row r="7726" spans="9:10" x14ac:dyDescent="0.25">
      <c r="I7726" s="199"/>
      <c r="J7726" s="199"/>
    </row>
    <row r="7727" spans="9:10" x14ac:dyDescent="0.25">
      <c r="I7727" s="199"/>
      <c r="J7727" s="199"/>
    </row>
    <row r="7728" spans="9:10" x14ac:dyDescent="0.25">
      <c r="I7728" s="199"/>
      <c r="J7728" s="199"/>
    </row>
    <row r="7729" spans="9:10" x14ac:dyDescent="0.25">
      <c r="I7729" s="199"/>
      <c r="J7729" s="199"/>
    </row>
    <row r="7730" spans="9:10" x14ac:dyDescent="0.25">
      <c r="I7730" s="199"/>
      <c r="J7730" s="199"/>
    </row>
    <row r="7731" spans="9:10" x14ac:dyDescent="0.25">
      <c r="I7731" s="199"/>
      <c r="J7731" s="199"/>
    </row>
    <row r="7732" spans="9:10" x14ac:dyDescent="0.25">
      <c r="I7732" s="199"/>
      <c r="J7732" s="199"/>
    </row>
    <row r="7733" spans="9:10" x14ac:dyDescent="0.25">
      <c r="I7733" s="199"/>
      <c r="J7733" s="199"/>
    </row>
    <row r="7734" spans="9:10" x14ac:dyDescent="0.25">
      <c r="I7734" s="199"/>
      <c r="J7734" s="199"/>
    </row>
    <row r="7735" spans="9:10" x14ac:dyDescent="0.25">
      <c r="I7735" s="199"/>
      <c r="J7735" s="199"/>
    </row>
    <row r="7736" spans="9:10" x14ac:dyDescent="0.25">
      <c r="I7736" s="199"/>
      <c r="J7736" s="199"/>
    </row>
    <row r="7737" spans="9:10" x14ac:dyDescent="0.25">
      <c r="I7737" s="199"/>
      <c r="J7737" s="199"/>
    </row>
    <row r="7738" spans="9:10" x14ac:dyDescent="0.25">
      <c r="I7738" s="199"/>
      <c r="J7738" s="199"/>
    </row>
    <row r="7739" spans="9:10" x14ac:dyDescent="0.25">
      <c r="I7739" s="199"/>
      <c r="J7739" s="199"/>
    </row>
    <row r="7740" spans="9:10" x14ac:dyDescent="0.25">
      <c r="I7740" s="199"/>
      <c r="J7740" s="199"/>
    </row>
    <row r="7741" spans="9:10" x14ac:dyDescent="0.25">
      <c r="I7741" s="199"/>
      <c r="J7741" s="199"/>
    </row>
    <row r="7742" spans="9:10" x14ac:dyDescent="0.25">
      <c r="I7742" s="199"/>
      <c r="J7742" s="199"/>
    </row>
    <row r="7743" spans="9:10" x14ac:dyDescent="0.25">
      <c r="I7743" s="199"/>
      <c r="J7743" s="199"/>
    </row>
    <row r="7744" spans="9:10" x14ac:dyDescent="0.25">
      <c r="I7744" s="199"/>
      <c r="J7744" s="199"/>
    </row>
    <row r="7745" spans="9:10" x14ac:dyDescent="0.25">
      <c r="I7745" s="199"/>
      <c r="J7745" s="199"/>
    </row>
    <row r="7746" spans="9:10" x14ac:dyDescent="0.25">
      <c r="I7746" s="199"/>
      <c r="J7746" s="199"/>
    </row>
    <row r="7747" spans="9:10" x14ac:dyDescent="0.25">
      <c r="I7747" s="199"/>
      <c r="J7747" s="199"/>
    </row>
    <row r="7748" spans="9:10" x14ac:dyDescent="0.25">
      <c r="I7748" s="199"/>
      <c r="J7748" s="199"/>
    </row>
    <row r="7749" spans="9:10" x14ac:dyDescent="0.25">
      <c r="I7749" s="199"/>
      <c r="J7749" s="199"/>
    </row>
    <row r="7750" spans="9:10" x14ac:dyDescent="0.25">
      <c r="I7750" s="199"/>
      <c r="J7750" s="199"/>
    </row>
    <row r="7751" spans="9:10" x14ac:dyDescent="0.25">
      <c r="I7751" s="199"/>
      <c r="J7751" s="199"/>
    </row>
    <row r="7752" spans="9:10" x14ac:dyDescent="0.25">
      <c r="I7752" s="199"/>
      <c r="J7752" s="199"/>
    </row>
    <row r="7753" spans="9:10" x14ac:dyDescent="0.25">
      <c r="I7753" s="199"/>
      <c r="J7753" s="199"/>
    </row>
    <row r="7754" spans="9:10" x14ac:dyDescent="0.25">
      <c r="I7754" s="199"/>
      <c r="J7754" s="199"/>
    </row>
    <row r="7755" spans="9:10" x14ac:dyDescent="0.25">
      <c r="I7755" s="199"/>
      <c r="J7755" s="199"/>
    </row>
    <row r="7756" spans="9:10" x14ac:dyDescent="0.25">
      <c r="I7756" s="199"/>
      <c r="J7756" s="199"/>
    </row>
    <row r="7757" spans="9:10" x14ac:dyDescent="0.25">
      <c r="I7757" s="199"/>
      <c r="J7757" s="199"/>
    </row>
    <row r="7758" spans="9:10" x14ac:dyDescent="0.25">
      <c r="I7758" s="199"/>
      <c r="J7758" s="199"/>
    </row>
    <row r="7759" spans="9:10" x14ac:dyDescent="0.25">
      <c r="I7759" s="199"/>
      <c r="J7759" s="199"/>
    </row>
    <row r="7760" spans="9:10" x14ac:dyDescent="0.25">
      <c r="I7760" s="199"/>
      <c r="J7760" s="199"/>
    </row>
    <row r="7761" spans="9:10" x14ac:dyDescent="0.25">
      <c r="I7761" s="199"/>
      <c r="J7761" s="199"/>
    </row>
    <row r="7762" spans="9:10" x14ac:dyDescent="0.25">
      <c r="I7762" s="199"/>
      <c r="J7762" s="199"/>
    </row>
    <row r="7763" spans="9:10" x14ac:dyDescent="0.25">
      <c r="I7763" s="199"/>
      <c r="J7763" s="199"/>
    </row>
    <row r="7764" spans="9:10" x14ac:dyDescent="0.25">
      <c r="I7764" s="199"/>
      <c r="J7764" s="199"/>
    </row>
    <row r="7765" spans="9:10" x14ac:dyDescent="0.25">
      <c r="I7765" s="199"/>
      <c r="J7765" s="199"/>
    </row>
    <row r="7766" spans="9:10" x14ac:dyDescent="0.25">
      <c r="I7766" s="199"/>
      <c r="J7766" s="199"/>
    </row>
    <row r="7767" spans="9:10" x14ac:dyDescent="0.25">
      <c r="I7767" s="199"/>
      <c r="J7767" s="199"/>
    </row>
    <row r="7768" spans="9:10" x14ac:dyDescent="0.25">
      <c r="I7768" s="199"/>
      <c r="J7768" s="199"/>
    </row>
    <row r="7769" spans="9:10" x14ac:dyDescent="0.25">
      <c r="I7769" s="199"/>
      <c r="J7769" s="199"/>
    </row>
    <row r="7770" spans="9:10" x14ac:dyDescent="0.25">
      <c r="I7770" s="199"/>
      <c r="J7770" s="199"/>
    </row>
    <row r="7771" spans="9:10" x14ac:dyDescent="0.25">
      <c r="I7771" s="199"/>
      <c r="J7771" s="199"/>
    </row>
    <row r="7772" spans="9:10" x14ac:dyDescent="0.25">
      <c r="I7772" s="199"/>
      <c r="J7772" s="199"/>
    </row>
    <row r="7773" spans="9:10" x14ac:dyDescent="0.25">
      <c r="I7773" s="199"/>
      <c r="J7773" s="199"/>
    </row>
    <row r="7774" spans="9:10" x14ac:dyDescent="0.25">
      <c r="I7774" s="199"/>
      <c r="J7774" s="199"/>
    </row>
    <row r="7775" spans="9:10" x14ac:dyDescent="0.25">
      <c r="I7775" s="199"/>
      <c r="J7775" s="199"/>
    </row>
    <row r="7776" spans="9:10" x14ac:dyDescent="0.25">
      <c r="I7776" s="199"/>
      <c r="J7776" s="199"/>
    </row>
    <row r="7777" spans="9:10" x14ac:dyDescent="0.25">
      <c r="I7777" s="199"/>
      <c r="J7777" s="199"/>
    </row>
    <row r="7778" spans="9:10" x14ac:dyDescent="0.25">
      <c r="I7778" s="199"/>
      <c r="J7778" s="199"/>
    </row>
    <row r="7779" spans="9:10" x14ac:dyDescent="0.25">
      <c r="I7779" s="199"/>
      <c r="J7779" s="199"/>
    </row>
    <row r="7780" spans="9:10" x14ac:dyDescent="0.25">
      <c r="I7780" s="199"/>
      <c r="J7780" s="199"/>
    </row>
    <row r="7781" spans="9:10" x14ac:dyDescent="0.25">
      <c r="I7781" s="199"/>
      <c r="J7781" s="199"/>
    </row>
    <row r="7782" spans="9:10" x14ac:dyDescent="0.25">
      <c r="I7782" s="199"/>
      <c r="J7782" s="199"/>
    </row>
    <row r="7783" spans="9:10" x14ac:dyDescent="0.25">
      <c r="I7783" s="199"/>
      <c r="J7783" s="199"/>
    </row>
    <row r="7784" spans="9:10" x14ac:dyDescent="0.25">
      <c r="I7784" s="199"/>
      <c r="J7784" s="199"/>
    </row>
    <row r="7785" spans="9:10" x14ac:dyDescent="0.25">
      <c r="I7785" s="199"/>
      <c r="J7785" s="199"/>
    </row>
    <row r="7786" spans="9:10" x14ac:dyDescent="0.25">
      <c r="I7786" s="199"/>
      <c r="J7786" s="199"/>
    </row>
    <row r="7787" spans="9:10" x14ac:dyDescent="0.25">
      <c r="I7787" s="199"/>
      <c r="J7787" s="199"/>
    </row>
    <row r="7788" spans="9:10" x14ac:dyDescent="0.25">
      <c r="I7788" s="199"/>
      <c r="J7788" s="199"/>
    </row>
    <row r="7789" spans="9:10" x14ac:dyDescent="0.25">
      <c r="I7789" s="199"/>
      <c r="J7789" s="199"/>
    </row>
    <row r="7790" spans="9:10" x14ac:dyDescent="0.25">
      <c r="I7790" s="199"/>
      <c r="J7790" s="199"/>
    </row>
    <row r="7791" spans="9:10" x14ac:dyDescent="0.25">
      <c r="I7791" s="199"/>
      <c r="J7791" s="199"/>
    </row>
    <row r="7792" spans="9:10" x14ac:dyDescent="0.25">
      <c r="I7792" s="199"/>
      <c r="J7792" s="199"/>
    </row>
    <row r="7793" spans="9:10" x14ac:dyDescent="0.25">
      <c r="I7793" s="199"/>
      <c r="J7793" s="199"/>
    </row>
    <row r="7794" spans="9:10" x14ac:dyDescent="0.25">
      <c r="I7794" s="199"/>
      <c r="J7794" s="199"/>
    </row>
    <row r="7795" spans="9:10" x14ac:dyDescent="0.25">
      <c r="I7795" s="199"/>
      <c r="J7795" s="199"/>
    </row>
    <row r="7796" spans="9:10" x14ac:dyDescent="0.25">
      <c r="I7796" s="199"/>
      <c r="J7796" s="199"/>
    </row>
    <row r="7797" spans="9:10" x14ac:dyDescent="0.25">
      <c r="I7797" s="199"/>
      <c r="J7797" s="199"/>
    </row>
    <row r="7798" spans="9:10" x14ac:dyDescent="0.25">
      <c r="I7798" s="199"/>
      <c r="J7798" s="199"/>
    </row>
    <row r="7799" spans="9:10" x14ac:dyDescent="0.25">
      <c r="I7799" s="199"/>
      <c r="J7799" s="199"/>
    </row>
    <row r="7800" spans="9:10" x14ac:dyDescent="0.25">
      <c r="I7800" s="199"/>
      <c r="J7800" s="199"/>
    </row>
    <row r="7801" spans="9:10" x14ac:dyDescent="0.25">
      <c r="I7801" s="199"/>
      <c r="J7801" s="199"/>
    </row>
    <row r="7802" spans="9:10" x14ac:dyDescent="0.25">
      <c r="I7802" s="199"/>
      <c r="J7802" s="199"/>
    </row>
    <row r="7803" spans="9:10" x14ac:dyDescent="0.25">
      <c r="I7803" s="199"/>
      <c r="J7803" s="199"/>
    </row>
    <row r="7804" spans="9:10" x14ac:dyDescent="0.25">
      <c r="I7804" s="199"/>
      <c r="J7804" s="199"/>
    </row>
    <row r="7805" spans="9:10" x14ac:dyDescent="0.25">
      <c r="I7805" s="199"/>
      <c r="J7805" s="199"/>
    </row>
    <row r="7806" spans="9:10" x14ac:dyDescent="0.25">
      <c r="I7806" s="199"/>
      <c r="J7806" s="199"/>
    </row>
    <row r="7807" spans="9:10" x14ac:dyDescent="0.25">
      <c r="I7807" s="199"/>
      <c r="J7807" s="199"/>
    </row>
    <row r="7808" spans="9:10" x14ac:dyDescent="0.25">
      <c r="I7808" s="199"/>
      <c r="J7808" s="199"/>
    </row>
    <row r="7809" spans="9:10" x14ac:dyDescent="0.25">
      <c r="I7809" s="199"/>
      <c r="J7809" s="199"/>
    </row>
    <row r="7810" spans="9:10" x14ac:dyDescent="0.25">
      <c r="I7810" s="199"/>
      <c r="J7810" s="199"/>
    </row>
    <row r="7811" spans="9:10" x14ac:dyDescent="0.25">
      <c r="I7811" s="199"/>
      <c r="J7811" s="199"/>
    </row>
    <row r="7812" spans="9:10" x14ac:dyDescent="0.25">
      <c r="I7812" s="199"/>
      <c r="J7812" s="199"/>
    </row>
    <row r="7813" spans="9:10" x14ac:dyDescent="0.25">
      <c r="I7813" s="199"/>
      <c r="J7813" s="199"/>
    </row>
    <row r="7814" spans="9:10" x14ac:dyDescent="0.25">
      <c r="I7814" s="199"/>
      <c r="J7814" s="199"/>
    </row>
    <row r="7815" spans="9:10" x14ac:dyDescent="0.25">
      <c r="I7815" s="199"/>
      <c r="J7815" s="199"/>
    </row>
    <row r="7816" spans="9:10" x14ac:dyDescent="0.25">
      <c r="I7816" s="199"/>
      <c r="J7816" s="199"/>
    </row>
    <row r="7817" spans="9:10" x14ac:dyDescent="0.25">
      <c r="I7817" s="199"/>
      <c r="J7817" s="199"/>
    </row>
    <row r="7818" spans="9:10" x14ac:dyDescent="0.25">
      <c r="I7818" s="199"/>
      <c r="J7818" s="199"/>
    </row>
    <row r="7819" spans="9:10" x14ac:dyDescent="0.25">
      <c r="I7819" s="199"/>
      <c r="J7819" s="199"/>
    </row>
    <row r="7820" spans="9:10" x14ac:dyDescent="0.25">
      <c r="I7820" s="199"/>
      <c r="J7820" s="199"/>
    </row>
    <row r="7821" spans="9:10" x14ac:dyDescent="0.25">
      <c r="I7821" s="199"/>
      <c r="J7821" s="199"/>
    </row>
    <row r="7822" spans="9:10" x14ac:dyDescent="0.25">
      <c r="I7822" s="199"/>
      <c r="J7822" s="199"/>
    </row>
    <row r="7823" spans="9:10" x14ac:dyDescent="0.25">
      <c r="I7823" s="199"/>
      <c r="J7823" s="199"/>
    </row>
    <row r="7824" spans="9:10" x14ac:dyDescent="0.25">
      <c r="I7824" s="199"/>
      <c r="J7824" s="199"/>
    </row>
    <row r="7825" spans="9:10" x14ac:dyDescent="0.25">
      <c r="I7825" s="199"/>
      <c r="J7825" s="199"/>
    </row>
    <row r="7826" spans="9:10" x14ac:dyDescent="0.25">
      <c r="I7826" s="199"/>
      <c r="J7826" s="199"/>
    </row>
    <row r="7827" spans="9:10" x14ac:dyDescent="0.25">
      <c r="I7827" s="199"/>
      <c r="J7827" s="199"/>
    </row>
    <row r="7828" spans="9:10" x14ac:dyDescent="0.25">
      <c r="I7828" s="199"/>
      <c r="J7828" s="199"/>
    </row>
    <row r="7829" spans="9:10" x14ac:dyDescent="0.25">
      <c r="I7829" s="199"/>
      <c r="J7829" s="199"/>
    </row>
    <row r="7830" spans="9:10" x14ac:dyDescent="0.25">
      <c r="I7830" s="199"/>
      <c r="J7830" s="199"/>
    </row>
    <row r="7831" spans="9:10" x14ac:dyDescent="0.25">
      <c r="I7831" s="199"/>
      <c r="J7831" s="199"/>
    </row>
    <row r="7832" spans="9:10" x14ac:dyDescent="0.25">
      <c r="I7832" s="199"/>
      <c r="J7832" s="199"/>
    </row>
    <row r="7833" spans="9:10" x14ac:dyDescent="0.25">
      <c r="I7833" s="199"/>
      <c r="J7833" s="199"/>
    </row>
    <row r="7834" spans="9:10" x14ac:dyDescent="0.25">
      <c r="I7834" s="199"/>
      <c r="J7834" s="199"/>
    </row>
    <row r="7835" spans="9:10" x14ac:dyDescent="0.25">
      <c r="I7835" s="199"/>
      <c r="J7835" s="199"/>
    </row>
    <row r="7836" spans="9:10" x14ac:dyDescent="0.25">
      <c r="I7836" s="199"/>
      <c r="J7836" s="199"/>
    </row>
    <row r="7837" spans="9:10" x14ac:dyDescent="0.25">
      <c r="I7837" s="199"/>
      <c r="J7837" s="199"/>
    </row>
    <row r="7838" spans="9:10" x14ac:dyDescent="0.25">
      <c r="I7838" s="199"/>
      <c r="J7838" s="199"/>
    </row>
    <row r="7839" spans="9:10" x14ac:dyDescent="0.25">
      <c r="I7839" s="199"/>
      <c r="J7839" s="199"/>
    </row>
    <row r="7840" spans="9:10" x14ac:dyDescent="0.25">
      <c r="I7840" s="199"/>
      <c r="J7840" s="199"/>
    </row>
    <row r="7841" spans="9:10" x14ac:dyDescent="0.25">
      <c r="I7841" s="199"/>
      <c r="J7841" s="199"/>
    </row>
    <row r="7842" spans="9:10" x14ac:dyDescent="0.25">
      <c r="I7842" s="199"/>
      <c r="J7842" s="199"/>
    </row>
    <row r="7843" spans="9:10" x14ac:dyDescent="0.25">
      <c r="I7843" s="199"/>
      <c r="J7843" s="199"/>
    </row>
    <row r="7844" spans="9:10" x14ac:dyDescent="0.25">
      <c r="I7844" s="199"/>
      <c r="J7844" s="199"/>
    </row>
    <row r="7845" spans="9:10" x14ac:dyDescent="0.25">
      <c r="I7845" s="199"/>
      <c r="J7845" s="199"/>
    </row>
    <row r="7846" spans="9:10" x14ac:dyDescent="0.25">
      <c r="I7846" s="199"/>
      <c r="J7846" s="199"/>
    </row>
    <row r="7847" spans="9:10" x14ac:dyDescent="0.25">
      <c r="I7847" s="199"/>
      <c r="J7847" s="199"/>
    </row>
    <row r="7848" spans="9:10" x14ac:dyDescent="0.25">
      <c r="I7848" s="199"/>
      <c r="J7848" s="199"/>
    </row>
    <row r="7849" spans="9:10" x14ac:dyDescent="0.25">
      <c r="I7849" s="199"/>
      <c r="J7849" s="199"/>
    </row>
    <row r="7850" spans="9:10" x14ac:dyDescent="0.25">
      <c r="I7850" s="199"/>
      <c r="J7850" s="199"/>
    </row>
    <row r="7851" spans="9:10" x14ac:dyDescent="0.25">
      <c r="I7851" s="199"/>
      <c r="J7851" s="199"/>
    </row>
    <row r="7852" spans="9:10" x14ac:dyDescent="0.25">
      <c r="I7852" s="199"/>
      <c r="J7852" s="199"/>
    </row>
    <row r="7853" spans="9:10" x14ac:dyDescent="0.25">
      <c r="I7853" s="199"/>
      <c r="J7853" s="199"/>
    </row>
    <row r="7854" spans="9:10" x14ac:dyDescent="0.25">
      <c r="I7854" s="199"/>
      <c r="J7854" s="199"/>
    </row>
    <row r="7855" spans="9:10" x14ac:dyDescent="0.25">
      <c r="I7855" s="199"/>
      <c r="J7855" s="199"/>
    </row>
    <row r="7856" spans="9:10" x14ac:dyDescent="0.25">
      <c r="I7856" s="199"/>
      <c r="J7856" s="199"/>
    </row>
    <row r="7857" spans="9:10" x14ac:dyDescent="0.25">
      <c r="I7857" s="199"/>
      <c r="J7857" s="199"/>
    </row>
    <row r="7858" spans="9:10" x14ac:dyDescent="0.25">
      <c r="I7858" s="199"/>
      <c r="J7858" s="199"/>
    </row>
    <row r="7859" spans="9:10" x14ac:dyDescent="0.25">
      <c r="I7859" s="199"/>
      <c r="J7859" s="199"/>
    </row>
    <row r="7860" spans="9:10" x14ac:dyDescent="0.25">
      <c r="I7860" s="199"/>
      <c r="J7860" s="199"/>
    </row>
    <row r="7861" spans="9:10" x14ac:dyDescent="0.25">
      <c r="I7861" s="199"/>
      <c r="J7861" s="199"/>
    </row>
    <row r="7862" spans="9:10" x14ac:dyDescent="0.25">
      <c r="I7862" s="199"/>
      <c r="J7862" s="199"/>
    </row>
    <row r="7863" spans="9:10" x14ac:dyDescent="0.25">
      <c r="I7863" s="199"/>
      <c r="J7863" s="199"/>
    </row>
    <row r="7864" spans="9:10" x14ac:dyDescent="0.25">
      <c r="I7864" s="199"/>
      <c r="J7864" s="199"/>
    </row>
    <row r="7865" spans="9:10" x14ac:dyDescent="0.25">
      <c r="I7865" s="199"/>
      <c r="J7865" s="199"/>
    </row>
    <row r="7866" spans="9:10" x14ac:dyDescent="0.25">
      <c r="I7866" s="199"/>
      <c r="J7866" s="199"/>
    </row>
    <row r="7867" spans="9:10" x14ac:dyDescent="0.25">
      <c r="I7867" s="199"/>
      <c r="J7867" s="199"/>
    </row>
    <row r="7868" spans="9:10" x14ac:dyDescent="0.25">
      <c r="I7868" s="199"/>
      <c r="J7868" s="199"/>
    </row>
    <row r="7869" spans="9:10" x14ac:dyDescent="0.25">
      <c r="I7869" s="199"/>
      <c r="J7869" s="199"/>
    </row>
    <row r="7870" spans="9:10" x14ac:dyDescent="0.25">
      <c r="I7870" s="199"/>
      <c r="J7870" s="199"/>
    </row>
    <row r="7871" spans="9:10" x14ac:dyDescent="0.25">
      <c r="I7871" s="199"/>
      <c r="J7871" s="199"/>
    </row>
    <row r="7872" spans="9:10" x14ac:dyDescent="0.25">
      <c r="I7872" s="199"/>
      <c r="J7872" s="199"/>
    </row>
    <row r="7873" spans="9:10" x14ac:dyDescent="0.25">
      <c r="I7873" s="199"/>
      <c r="J7873" s="199"/>
    </row>
    <row r="7874" spans="9:10" x14ac:dyDescent="0.25">
      <c r="I7874" s="199"/>
      <c r="J7874" s="199"/>
    </row>
    <row r="7875" spans="9:10" x14ac:dyDescent="0.25">
      <c r="I7875" s="199"/>
      <c r="J7875" s="199"/>
    </row>
    <row r="7876" spans="9:10" x14ac:dyDescent="0.25">
      <c r="I7876" s="199"/>
      <c r="J7876" s="199"/>
    </row>
    <row r="7877" spans="9:10" x14ac:dyDescent="0.25">
      <c r="I7877" s="199"/>
      <c r="J7877" s="199"/>
    </row>
    <row r="7878" spans="9:10" x14ac:dyDescent="0.25">
      <c r="I7878" s="199"/>
      <c r="J7878" s="199"/>
    </row>
    <row r="7879" spans="9:10" x14ac:dyDescent="0.25">
      <c r="I7879" s="199"/>
      <c r="J7879" s="199"/>
    </row>
    <row r="7880" spans="9:10" x14ac:dyDescent="0.25">
      <c r="I7880" s="199"/>
      <c r="J7880" s="199"/>
    </row>
    <row r="7881" spans="9:10" x14ac:dyDescent="0.25">
      <c r="I7881" s="199"/>
      <c r="J7881" s="199"/>
    </row>
    <row r="7882" spans="9:10" x14ac:dyDescent="0.25">
      <c r="I7882" s="199"/>
      <c r="J7882" s="199"/>
    </row>
    <row r="7883" spans="9:10" x14ac:dyDescent="0.25">
      <c r="I7883" s="199"/>
      <c r="J7883" s="199"/>
    </row>
    <row r="7884" spans="9:10" x14ac:dyDescent="0.25">
      <c r="I7884" s="199"/>
      <c r="J7884" s="199"/>
    </row>
    <row r="7885" spans="9:10" x14ac:dyDescent="0.25">
      <c r="I7885" s="199"/>
      <c r="J7885" s="199"/>
    </row>
    <row r="7886" spans="9:10" x14ac:dyDescent="0.25">
      <c r="I7886" s="199"/>
      <c r="J7886" s="199"/>
    </row>
    <row r="7887" spans="9:10" x14ac:dyDescent="0.25">
      <c r="I7887" s="199"/>
      <c r="J7887" s="199"/>
    </row>
    <row r="7888" spans="9:10" x14ac:dyDescent="0.25">
      <c r="I7888" s="199"/>
      <c r="J7888" s="199"/>
    </row>
    <row r="7889" spans="9:10" x14ac:dyDescent="0.25">
      <c r="I7889" s="199"/>
      <c r="J7889" s="199"/>
    </row>
    <row r="7890" spans="9:10" x14ac:dyDescent="0.25">
      <c r="I7890" s="199"/>
      <c r="J7890" s="199"/>
    </row>
    <row r="7891" spans="9:10" x14ac:dyDescent="0.25">
      <c r="I7891" s="199"/>
      <c r="J7891" s="199"/>
    </row>
    <row r="7892" spans="9:10" x14ac:dyDescent="0.25">
      <c r="I7892" s="199"/>
      <c r="J7892" s="199"/>
    </row>
    <row r="7893" spans="9:10" x14ac:dyDescent="0.25">
      <c r="I7893" s="199"/>
      <c r="J7893" s="199"/>
    </row>
    <row r="7894" spans="9:10" x14ac:dyDescent="0.25">
      <c r="I7894" s="199"/>
      <c r="J7894" s="199"/>
    </row>
    <row r="7895" spans="9:10" x14ac:dyDescent="0.25">
      <c r="I7895" s="199"/>
      <c r="J7895" s="199"/>
    </row>
    <row r="7896" spans="9:10" x14ac:dyDescent="0.25">
      <c r="I7896" s="199"/>
      <c r="J7896" s="199"/>
    </row>
    <row r="7897" spans="9:10" x14ac:dyDescent="0.25">
      <c r="I7897" s="199"/>
      <c r="J7897" s="199"/>
    </row>
    <row r="7898" spans="9:10" x14ac:dyDescent="0.25">
      <c r="I7898" s="199"/>
      <c r="J7898" s="199"/>
    </row>
    <row r="7899" spans="9:10" x14ac:dyDescent="0.25">
      <c r="I7899" s="199"/>
      <c r="J7899" s="199"/>
    </row>
    <row r="7900" spans="9:10" x14ac:dyDescent="0.25">
      <c r="I7900" s="199"/>
      <c r="J7900" s="199"/>
    </row>
    <row r="7901" spans="9:10" x14ac:dyDescent="0.25">
      <c r="I7901" s="199"/>
      <c r="J7901" s="199"/>
    </row>
    <row r="7902" spans="9:10" x14ac:dyDescent="0.25">
      <c r="I7902" s="199"/>
      <c r="J7902" s="199"/>
    </row>
    <row r="7903" spans="9:10" x14ac:dyDescent="0.25">
      <c r="I7903" s="199"/>
      <c r="J7903" s="199"/>
    </row>
    <row r="7904" spans="9:10" x14ac:dyDescent="0.25">
      <c r="I7904" s="199"/>
      <c r="J7904" s="199"/>
    </row>
    <row r="7905" spans="9:10" x14ac:dyDescent="0.25">
      <c r="I7905" s="199"/>
      <c r="J7905" s="199"/>
    </row>
    <row r="7906" spans="9:10" x14ac:dyDescent="0.25">
      <c r="I7906" s="199"/>
      <c r="J7906" s="199"/>
    </row>
    <row r="7907" spans="9:10" x14ac:dyDescent="0.25">
      <c r="I7907" s="199"/>
      <c r="J7907" s="199"/>
    </row>
    <row r="7908" spans="9:10" x14ac:dyDescent="0.25">
      <c r="I7908" s="199"/>
      <c r="J7908" s="199"/>
    </row>
    <row r="7909" spans="9:10" x14ac:dyDescent="0.25">
      <c r="I7909" s="199"/>
      <c r="J7909" s="199"/>
    </row>
    <row r="7910" spans="9:10" x14ac:dyDescent="0.25">
      <c r="I7910" s="199"/>
      <c r="J7910" s="199"/>
    </row>
    <row r="7911" spans="9:10" x14ac:dyDescent="0.25">
      <c r="I7911" s="199"/>
      <c r="J7911" s="199"/>
    </row>
    <row r="7912" spans="9:10" x14ac:dyDescent="0.25">
      <c r="I7912" s="199"/>
      <c r="J7912" s="199"/>
    </row>
    <row r="7913" spans="9:10" x14ac:dyDescent="0.25">
      <c r="I7913" s="199"/>
      <c r="J7913" s="199"/>
    </row>
    <row r="7914" spans="9:10" x14ac:dyDescent="0.25">
      <c r="I7914" s="199"/>
      <c r="J7914" s="199"/>
    </row>
    <row r="7915" spans="9:10" x14ac:dyDescent="0.25">
      <c r="I7915" s="199"/>
      <c r="J7915" s="199"/>
    </row>
    <row r="7916" spans="9:10" x14ac:dyDescent="0.25">
      <c r="I7916" s="199"/>
      <c r="J7916" s="199"/>
    </row>
    <row r="7917" spans="9:10" x14ac:dyDescent="0.25">
      <c r="I7917" s="199"/>
      <c r="J7917" s="199"/>
    </row>
    <row r="7918" spans="9:10" x14ac:dyDescent="0.25">
      <c r="I7918" s="199"/>
      <c r="J7918" s="199"/>
    </row>
    <row r="7919" spans="9:10" x14ac:dyDescent="0.25">
      <c r="I7919" s="199"/>
      <c r="J7919" s="199"/>
    </row>
    <row r="7920" spans="9:10" x14ac:dyDescent="0.25">
      <c r="I7920" s="199"/>
      <c r="J7920" s="199"/>
    </row>
    <row r="7921" spans="9:10" x14ac:dyDescent="0.25">
      <c r="I7921" s="199"/>
      <c r="J7921" s="199"/>
    </row>
    <row r="7922" spans="9:10" x14ac:dyDescent="0.25">
      <c r="I7922" s="199"/>
      <c r="J7922" s="199"/>
    </row>
    <row r="7923" spans="9:10" x14ac:dyDescent="0.25">
      <c r="I7923" s="199"/>
      <c r="J7923" s="199"/>
    </row>
    <row r="7924" spans="9:10" x14ac:dyDescent="0.25">
      <c r="I7924" s="199"/>
      <c r="J7924" s="199"/>
    </row>
    <row r="7925" spans="9:10" x14ac:dyDescent="0.25">
      <c r="I7925" s="199"/>
      <c r="J7925" s="199"/>
    </row>
    <row r="7926" spans="9:10" x14ac:dyDescent="0.25">
      <c r="I7926" s="199"/>
      <c r="J7926" s="199"/>
    </row>
    <row r="7927" spans="9:10" x14ac:dyDescent="0.25">
      <c r="I7927" s="199"/>
      <c r="J7927" s="199"/>
    </row>
    <row r="7928" spans="9:10" x14ac:dyDescent="0.25">
      <c r="I7928" s="199"/>
      <c r="J7928" s="199"/>
    </row>
    <row r="7929" spans="9:10" x14ac:dyDescent="0.25">
      <c r="I7929" s="199"/>
      <c r="J7929" s="199"/>
    </row>
    <row r="7930" spans="9:10" x14ac:dyDescent="0.25">
      <c r="I7930" s="199"/>
      <c r="J7930" s="199"/>
    </row>
    <row r="7931" spans="9:10" x14ac:dyDescent="0.25">
      <c r="I7931" s="199"/>
      <c r="J7931" s="199"/>
    </row>
    <row r="7932" spans="9:10" x14ac:dyDescent="0.25">
      <c r="I7932" s="199"/>
      <c r="J7932" s="199"/>
    </row>
    <row r="7933" spans="9:10" x14ac:dyDescent="0.25">
      <c r="I7933" s="199"/>
      <c r="J7933" s="199"/>
    </row>
    <row r="7934" spans="9:10" x14ac:dyDescent="0.25">
      <c r="I7934" s="199"/>
      <c r="J7934" s="199"/>
    </row>
    <row r="7935" spans="9:10" x14ac:dyDescent="0.25">
      <c r="I7935" s="199"/>
      <c r="J7935" s="199"/>
    </row>
    <row r="7936" spans="9:10" x14ac:dyDescent="0.25">
      <c r="I7936" s="199"/>
      <c r="J7936" s="199"/>
    </row>
    <row r="7937" spans="9:10" x14ac:dyDescent="0.25">
      <c r="I7937" s="199"/>
      <c r="J7937" s="199"/>
    </row>
    <row r="7938" spans="9:10" x14ac:dyDescent="0.25">
      <c r="I7938" s="199"/>
      <c r="J7938" s="199"/>
    </row>
    <row r="7939" spans="9:10" x14ac:dyDescent="0.25">
      <c r="I7939" s="199"/>
      <c r="J7939" s="199"/>
    </row>
    <row r="7940" spans="9:10" x14ac:dyDescent="0.25">
      <c r="I7940" s="199"/>
      <c r="J7940" s="199"/>
    </row>
    <row r="7941" spans="9:10" x14ac:dyDescent="0.25">
      <c r="I7941" s="199"/>
      <c r="J7941" s="199"/>
    </row>
    <row r="7942" spans="9:10" x14ac:dyDescent="0.25">
      <c r="I7942" s="199"/>
      <c r="J7942" s="199"/>
    </row>
    <row r="7943" spans="9:10" x14ac:dyDescent="0.25">
      <c r="I7943" s="199"/>
      <c r="J7943" s="199"/>
    </row>
    <row r="7944" spans="9:10" x14ac:dyDescent="0.25">
      <c r="I7944" s="199"/>
      <c r="J7944" s="199"/>
    </row>
    <row r="7945" spans="9:10" x14ac:dyDescent="0.25">
      <c r="I7945" s="199"/>
      <c r="J7945" s="199"/>
    </row>
    <row r="7946" spans="9:10" x14ac:dyDescent="0.25">
      <c r="I7946" s="199"/>
      <c r="J7946" s="199"/>
    </row>
    <row r="7947" spans="9:10" x14ac:dyDescent="0.25">
      <c r="I7947" s="199"/>
      <c r="J7947" s="199"/>
    </row>
    <row r="7948" spans="9:10" x14ac:dyDescent="0.25">
      <c r="I7948" s="199"/>
      <c r="J7948" s="199"/>
    </row>
    <row r="7949" spans="9:10" x14ac:dyDescent="0.25">
      <c r="I7949" s="199"/>
      <c r="J7949" s="199"/>
    </row>
    <row r="7950" spans="9:10" x14ac:dyDescent="0.25">
      <c r="I7950" s="199"/>
      <c r="J7950" s="199"/>
    </row>
    <row r="7951" spans="9:10" x14ac:dyDescent="0.25">
      <c r="I7951" s="199"/>
      <c r="J7951" s="199"/>
    </row>
    <row r="7952" spans="9:10" x14ac:dyDescent="0.25">
      <c r="I7952" s="199"/>
      <c r="J7952" s="199"/>
    </row>
    <row r="7953" spans="9:10" x14ac:dyDescent="0.25">
      <c r="I7953" s="199"/>
      <c r="J7953" s="199"/>
    </row>
    <row r="7954" spans="9:10" x14ac:dyDescent="0.25">
      <c r="I7954" s="199"/>
      <c r="J7954" s="199"/>
    </row>
    <row r="7955" spans="9:10" x14ac:dyDescent="0.25">
      <c r="I7955" s="199"/>
      <c r="J7955" s="199"/>
    </row>
    <row r="7956" spans="9:10" x14ac:dyDescent="0.25">
      <c r="I7956" s="199"/>
      <c r="J7956" s="199"/>
    </row>
    <row r="7957" spans="9:10" x14ac:dyDescent="0.25">
      <c r="I7957" s="199"/>
      <c r="J7957" s="199"/>
    </row>
    <row r="7958" spans="9:10" x14ac:dyDescent="0.25">
      <c r="I7958" s="199"/>
      <c r="J7958" s="199"/>
    </row>
    <row r="7959" spans="9:10" x14ac:dyDescent="0.25">
      <c r="I7959" s="199"/>
      <c r="J7959" s="199"/>
    </row>
    <row r="7960" spans="9:10" x14ac:dyDescent="0.25">
      <c r="I7960" s="199"/>
      <c r="J7960" s="199"/>
    </row>
    <row r="7961" spans="9:10" x14ac:dyDescent="0.25">
      <c r="I7961" s="199"/>
      <c r="J7961" s="199"/>
    </row>
    <row r="7962" spans="9:10" x14ac:dyDescent="0.25">
      <c r="I7962" s="199"/>
      <c r="J7962" s="199"/>
    </row>
    <row r="7963" spans="9:10" x14ac:dyDescent="0.25">
      <c r="I7963" s="199"/>
      <c r="J7963" s="199"/>
    </row>
    <row r="7964" spans="9:10" x14ac:dyDescent="0.25">
      <c r="I7964" s="199"/>
      <c r="J7964" s="199"/>
    </row>
    <row r="7965" spans="9:10" x14ac:dyDescent="0.25">
      <c r="I7965" s="199"/>
      <c r="J7965" s="199"/>
    </row>
    <row r="7966" spans="9:10" x14ac:dyDescent="0.25">
      <c r="I7966" s="199"/>
      <c r="J7966" s="199"/>
    </row>
    <row r="7967" spans="9:10" x14ac:dyDescent="0.25">
      <c r="I7967" s="199"/>
      <c r="J7967" s="199"/>
    </row>
    <row r="7968" spans="9:10" x14ac:dyDescent="0.25">
      <c r="I7968" s="199"/>
      <c r="J7968" s="199"/>
    </row>
    <row r="7969" spans="9:10" x14ac:dyDescent="0.25">
      <c r="I7969" s="199"/>
      <c r="J7969" s="199"/>
    </row>
    <row r="7970" spans="9:10" x14ac:dyDescent="0.25">
      <c r="I7970" s="199"/>
      <c r="J7970" s="199"/>
    </row>
    <row r="7971" spans="9:10" x14ac:dyDescent="0.25">
      <c r="I7971" s="199"/>
      <c r="J7971" s="199"/>
    </row>
    <row r="7972" spans="9:10" x14ac:dyDescent="0.25">
      <c r="I7972" s="199"/>
      <c r="J7972" s="199"/>
    </row>
    <row r="7973" spans="9:10" x14ac:dyDescent="0.25">
      <c r="I7973" s="199"/>
      <c r="J7973" s="199"/>
    </row>
    <row r="7974" spans="9:10" x14ac:dyDescent="0.25">
      <c r="I7974" s="199"/>
      <c r="J7974" s="199"/>
    </row>
    <row r="7975" spans="9:10" x14ac:dyDescent="0.25">
      <c r="I7975" s="199"/>
      <c r="J7975" s="199"/>
    </row>
    <row r="7976" spans="9:10" x14ac:dyDescent="0.25">
      <c r="I7976" s="199"/>
      <c r="J7976" s="199"/>
    </row>
    <row r="7977" spans="9:10" x14ac:dyDescent="0.25">
      <c r="I7977" s="199"/>
      <c r="J7977" s="199"/>
    </row>
    <row r="7978" spans="9:10" x14ac:dyDescent="0.25">
      <c r="I7978" s="199"/>
      <c r="J7978" s="199"/>
    </row>
    <row r="7979" spans="9:10" x14ac:dyDescent="0.25">
      <c r="I7979" s="199"/>
      <c r="J7979" s="199"/>
    </row>
    <row r="7980" spans="9:10" x14ac:dyDescent="0.25">
      <c r="I7980" s="199"/>
      <c r="J7980" s="199"/>
    </row>
    <row r="7981" spans="9:10" x14ac:dyDescent="0.25">
      <c r="I7981" s="199"/>
      <c r="J7981" s="199"/>
    </row>
    <row r="7982" spans="9:10" x14ac:dyDescent="0.25">
      <c r="I7982" s="199"/>
      <c r="J7982" s="199"/>
    </row>
    <row r="7983" spans="9:10" x14ac:dyDescent="0.25">
      <c r="I7983" s="199"/>
      <c r="J7983" s="199"/>
    </row>
    <row r="7984" spans="9:10" x14ac:dyDescent="0.25">
      <c r="I7984" s="199"/>
      <c r="J7984" s="199"/>
    </row>
    <row r="7985" spans="9:10" x14ac:dyDescent="0.25">
      <c r="I7985" s="199"/>
      <c r="J7985" s="199"/>
    </row>
    <row r="7986" spans="9:10" x14ac:dyDescent="0.25">
      <c r="I7986" s="199"/>
      <c r="J7986" s="199"/>
    </row>
    <row r="7987" spans="9:10" x14ac:dyDescent="0.25">
      <c r="I7987" s="199"/>
      <c r="J7987" s="199"/>
    </row>
    <row r="7988" spans="9:10" x14ac:dyDescent="0.25">
      <c r="I7988" s="199"/>
      <c r="J7988" s="199"/>
    </row>
    <row r="7989" spans="9:10" x14ac:dyDescent="0.25">
      <c r="I7989" s="199"/>
      <c r="J7989" s="199"/>
    </row>
    <row r="7990" spans="9:10" x14ac:dyDescent="0.25">
      <c r="I7990" s="199"/>
      <c r="J7990" s="199"/>
    </row>
    <row r="7991" spans="9:10" x14ac:dyDescent="0.25">
      <c r="I7991" s="199"/>
      <c r="J7991" s="199"/>
    </row>
    <row r="7992" spans="9:10" x14ac:dyDescent="0.25">
      <c r="I7992" s="199"/>
      <c r="J7992" s="199"/>
    </row>
    <row r="7993" spans="9:10" x14ac:dyDescent="0.25">
      <c r="I7993" s="199"/>
      <c r="J7993" s="199"/>
    </row>
    <row r="7994" spans="9:10" x14ac:dyDescent="0.25">
      <c r="I7994" s="199"/>
      <c r="J7994" s="199"/>
    </row>
    <row r="7995" spans="9:10" x14ac:dyDescent="0.25">
      <c r="I7995" s="199"/>
      <c r="J7995" s="199"/>
    </row>
    <row r="7996" spans="9:10" x14ac:dyDescent="0.25">
      <c r="I7996" s="199"/>
      <c r="J7996" s="199"/>
    </row>
    <row r="7997" spans="9:10" x14ac:dyDescent="0.25">
      <c r="I7997" s="199"/>
      <c r="J7997" s="199"/>
    </row>
    <row r="7998" spans="9:10" x14ac:dyDescent="0.25">
      <c r="I7998" s="199"/>
      <c r="J7998" s="199"/>
    </row>
    <row r="7999" spans="9:10" x14ac:dyDescent="0.25">
      <c r="I7999" s="199"/>
      <c r="J7999" s="199"/>
    </row>
    <row r="8000" spans="9:10" x14ac:dyDescent="0.25">
      <c r="I8000" s="199"/>
      <c r="J8000" s="199"/>
    </row>
    <row r="8001" spans="9:10" x14ac:dyDescent="0.25">
      <c r="I8001" s="199"/>
      <c r="J8001" s="199"/>
    </row>
    <row r="8002" spans="9:10" x14ac:dyDescent="0.25">
      <c r="I8002" s="199"/>
      <c r="J8002" s="199"/>
    </row>
    <row r="8003" spans="9:10" x14ac:dyDescent="0.25">
      <c r="I8003" s="199"/>
      <c r="J8003" s="199"/>
    </row>
    <row r="8004" spans="9:10" x14ac:dyDescent="0.25">
      <c r="I8004" s="199"/>
      <c r="J8004" s="199"/>
    </row>
    <row r="8005" spans="9:10" x14ac:dyDescent="0.25">
      <c r="I8005" s="199"/>
      <c r="J8005" s="199"/>
    </row>
    <row r="8006" spans="9:10" x14ac:dyDescent="0.25">
      <c r="I8006" s="199"/>
      <c r="J8006" s="199"/>
    </row>
    <row r="8007" spans="9:10" x14ac:dyDescent="0.25">
      <c r="I8007" s="199"/>
      <c r="J8007" s="199"/>
    </row>
    <row r="8008" spans="9:10" x14ac:dyDescent="0.25">
      <c r="I8008" s="199"/>
      <c r="J8008" s="199"/>
    </row>
    <row r="8009" spans="9:10" x14ac:dyDescent="0.25">
      <c r="I8009" s="199"/>
      <c r="J8009" s="199"/>
    </row>
    <row r="8010" spans="9:10" x14ac:dyDescent="0.25">
      <c r="I8010" s="199"/>
      <c r="J8010" s="199"/>
    </row>
    <row r="8011" spans="9:10" x14ac:dyDescent="0.25">
      <c r="I8011" s="199"/>
      <c r="J8011" s="199"/>
    </row>
    <row r="8012" spans="9:10" x14ac:dyDescent="0.25">
      <c r="I8012" s="199"/>
      <c r="J8012" s="199"/>
    </row>
    <row r="8013" spans="9:10" x14ac:dyDescent="0.25">
      <c r="I8013" s="199"/>
      <c r="J8013" s="199"/>
    </row>
    <row r="8014" spans="9:10" x14ac:dyDescent="0.25">
      <c r="I8014" s="199"/>
      <c r="J8014" s="199"/>
    </row>
    <row r="8015" spans="9:10" x14ac:dyDescent="0.25">
      <c r="I8015" s="199"/>
      <c r="J8015" s="199"/>
    </row>
    <row r="8016" spans="9:10" x14ac:dyDescent="0.25">
      <c r="I8016" s="199"/>
      <c r="J8016" s="199"/>
    </row>
    <row r="8017" spans="9:10" x14ac:dyDescent="0.25">
      <c r="I8017" s="199"/>
      <c r="J8017" s="199"/>
    </row>
    <row r="8018" spans="9:10" x14ac:dyDescent="0.25">
      <c r="I8018" s="199"/>
      <c r="J8018" s="199"/>
    </row>
    <row r="8019" spans="9:10" x14ac:dyDescent="0.25">
      <c r="I8019" s="199"/>
      <c r="J8019" s="199"/>
    </row>
    <row r="8020" spans="9:10" x14ac:dyDescent="0.25">
      <c r="I8020" s="199"/>
      <c r="J8020" s="199"/>
    </row>
    <row r="8021" spans="9:10" x14ac:dyDescent="0.25">
      <c r="I8021" s="199"/>
      <c r="J8021" s="199"/>
    </row>
    <row r="8022" spans="9:10" x14ac:dyDescent="0.25">
      <c r="I8022" s="199"/>
      <c r="J8022" s="199"/>
    </row>
    <row r="8023" spans="9:10" x14ac:dyDescent="0.25">
      <c r="I8023" s="199"/>
      <c r="J8023" s="199"/>
    </row>
    <row r="8024" spans="9:10" x14ac:dyDescent="0.25">
      <c r="I8024" s="199"/>
      <c r="J8024" s="199"/>
    </row>
    <row r="8025" spans="9:10" x14ac:dyDescent="0.25">
      <c r="I8025" s="199"/>
      <c r="J8025" s="199"/>
    </row>
    <row r="8026" spans="9:10" x14ac:dyDescent="0.25">
      <c r="I8026" s="199"/>
      <c r="J8026" s="199"/>
    </row>
    <row r="8027" spans="9:10" x14ac:dyDescent="0.25">
      <c r="I8027" s="199"/>
      <c r="J8027" s="199"/>
    </row>
    <row r="8028" spans="9:10" x14ac:dyDescent="0.25">
      <c r="I8028" s="199"/>
      <c r="J8028" s="199"/>
    </row>
    <row r="8029" spans="9:10" x14ac:dyDescent="0.25">
      <c r="I8029" s="199"/>
      <c r="J8029" s="199"/>
    </row>
    <row r="8030" spans="9:10" x14ac:dyDescent="0.25">
      <c r="I8030" s="199"/>
      <c r="J8030" s="199"/>
    </row>
    <row r="8031" spans="9:10" x14ac:dyDescent="0.25">
      <c r="I8031" s="199"/>
      <c r="J8031" s="199"/>
    </row>
    <row r="8032" spans="9:10" x14ac:dyDescent="0.25">
      <c r="I8032" s="199"/>
      <c r="J8032" s="199"/>
    </row>
    <row r="8033" spans="9:10" x14ac:dyDescent="0.25">
      <c r="I8033" s="199"/>
      <c r="J8033" s="199"/>
    </row>
    <row r="8034" spans="9:10" x14ac:dyDescent="0.25">
      <c r="I8034" s="199"/>
      <c r="J8034" s="199"/>
    </row>
    <row r="8035" spans="9:10" x14ac:dyDescent="0.25">
      <c r="I8035" s="199"/>
      <c r="J8035" s="199"/>
    </row>
    <row r="8036" spans="9:10" x14ac:dyDescent="0.25">
      <c r="I8036" s="199"/>
      <c r="J8036" s="199"/>
    </row>
    <row r="8037" spans="9:10" x14ac:dyDescent="0.25">
      <c r="I8037" s="199"/>
      <c r="J8037" s="199"/>
    </row>
    <row r="8038" spans="9:10" x14ac:dyDescent="0.25">
      <c r="I8038" s="199"/>
      <c r="J8038" s="199"/>
    </row>
    <row r="8039" spans="9:10" x14ac:dyDescent="0.25">
      <c r="I8039" s="199"/>
      <c r="J8039" s="199"/>
    </row>
    <row r="8040" spans="9:10" x14ac:dyDescent="0.25">
      <c r="I8040" s="199"/>
      <c r="J8040" s="199"/>
    </row>
    <row r="8041" spans="9:10" x14ac:dyDescent="0.25">
      <c r="I8041" s="199"/>
      <c r="J8041" s="199"/>
    </row>
    <row r="8042" spans="9:10" x14ac:dyDescent="0.25">
      <c r="I8042" s="199"/>
      <c r="J8042" s="199"/>
    </row>
    <row r="8043" spans="9:10" x14ac:dyDescent="0.25">
      <c r="I8043" s="199"/>
      <c r="J8043" s="199"/>
    </row>
    <row r="8044" spans="9:10" x14ac:dyDescent="0.25">
      <c r="I8044" s="199"/>
      <c r="J8044" s="199"/>
    </row>
    <row r="8045" spans="9:10" x14ac:dyDescent="0.25">
      <c r="I8045" s="199"/>
      <c r="J8045" s="199"/>
    </row>
    <row r="8046" spans="9:10" x14ac:dyDescent="0.25">
      <c r="I8046" s="199"/>
      <c r="J8046" s="199"/>
    </row>
    <row r="8047" spans="9:10" x14ac:dyDescent="0.25">
      <c r="I8047" s="199"/>
      <c r="J8047" s="199"/>
    </row>
    <row r="8048" spans="9:10" x14ac:dyDescent="0.25">
      <c r="I8048" s="199"/>
      <c r="J8048" s="199"/>
    </row>
    <row r="8049" spans="9:10" x14ac:dyDescent="0.25">
      <c r="I8049" s="199"/>
      <c r="J8049" s="199"/>
    </row>
    <row r="8050" spans="9:10" x14ac:dyDescent="0.25">
      <c r="I8050" s="199"/>
      <c r="J8050" s="199"/>
    </row>
    <row r="8051" spans="9:10" x14ac:dyDescent="0.25">
      <c r="I8051" s="199"/>
      <c r="J8051" s="199"/>
    </row>
    <row r="8052" spans="9:10" x14ac:dyDescent="0.25">
      <c r="I8052" s="199"/>
      <c r="J8052" s="199"/>
    </row>
    <row r="8053" spans="9:10" x14ac:dyDescent="0.25">
      <c r="I8053" s="199"/>
      <c r="J8053" s="199"/>
    </row>
    <row r="8054" spans="9:10" x14ac:dyDescent="0.25">
      <c r="I8054" s="199"/>
      <c r="J8054" s="199"/>
    </row>
    <row r="8055" spans="9:10" x14ac:dyDescent="0.25">
      <c r="I8055" s="199"/>
      <c r="J8055" s="199"/>
    </row>
    <row r="8056" spans="9:10" x14ac:dyDescent="0.25">
      <c r="I8056" s="199"/>
      <c r="J8056" s="199"/>
    </row>
    <row r="8057" spans="9:10" x14ac:dyDescent="0.25">
      <c r="I8057" s="199"/>
      <c r="J8057" s="199"/>
    </row>
    <row r="8058" spans="9:10" x14ac:dyDescent="0.25">
      <c r="I8058" s="199"/>
      <c r="J8058" s="199"/>
    </row>
    <row r="8059" spans="9:10" x14ac:dyDescent="0.25">
      <c r="I8059" s="199"/>
      <c r="J8059" s="199"/>
    </row>
    <row r="8060" spans="9:10" x14ac:dyDescent="0.25">
      <c r="I8060" s="199"/>
      <c r="J8060" s="199"/>
    </row>
    <row r="8061" spans="9:10" x14ac:dyDescent="0.25">
      <c r="I8061" s="199"/>
      <c r="J8061" s="199"/>
    </row>
    <row r="8062" spans="9:10" x14ac:dyDescent="0.25">
      <c r="I8062" s="199"/>
      <c r="J8062" s="199"/>
    </row>
    <row r="8063" spans="9:10" x14ac:dyDescent="0.25">
      <c r="I8063" s="199"/>
      <c r="J8063" s="199"/>
    </row>
    <row r="8064" spans="9:10" x14ac:dyDescent="0.25">
      <c r="I8064" s="199"/>
      <c r="J8064" s="199"/>
    </row>
    <row r="8065" spans="9:10" x14ac:dyDescent="0.25">
      <c r="I8065" s="199"/>
      <c r="J8065" s="199"/>
    </row>
    <row r="8066" spans="9:10" x14ac:dyDescent="0.25">
      <c r="I8066" s="199"/>
      <c r="J8066" s="199"/>
    </row>
    <row r="8067" spans="9:10" x14ac:dyDescent="0.25">
      <c r="I8067" s="199"/>
      <c r="J8067" s="199"/>
    </row>
    <row r="8068" spans="9:10" x14ac:dyDescent="0.25">
      <c r="I8068" s="199"/>
      <c r="J8068" s="199"/>
    </row>
    <row r="8069" spans="9:10" x14ac:dyDescent="0.25">
      <c r="I8069" s="199"/>
      <c r="J8069" s="199"/>
    </row>
    <row r="8070" spans="9:10" x14ac:dyDescent="0.25">
      <c r="I8070" s="199"/>
      <c r="J8070" s="199"/>
    </row>
    <row r="8071" spans="9:10" x14ac:dyDescent="0.25">
      <c r="I8071" s="199"/>
      <c r="J8071" s="199"/>
    </row>
    <row r="8072" spans="9:10" x14ac:dyDescent="0.25">
      <c r="I8072" s="199"/>
      <c r="J8072" s="199"/>
    </row>
    <row r="8073" spans="9:10" x14ac:dyDescent="0.25">
      <c r="I8073" s="199"/>
      <c r="J8073" s="199"/>
    </row>
    <row r="8074" spans="9:10" x14ac:dyDescent="0.25">
      <c r="I8074" s="199"/>
      <c r="J8074" s="199"/>
    </row>
    <row r="8075" spans="9:10" x14ac:dyDescent="0.25">
      <c r="I8075" s="199"/>
      <c r="J8075" s="199"/>
    </row>
    <row r="8076" spans="9:10" x14ac:dyDescent="0.25">
      <c r="I8076" s="199"/>
      <c r="J8076" s="199"/>
    </row>
    <row r="8077" spans="9:10" x14ac:dyDescent="0.25">
      <c r="I8077" s="199"/>
      <c r="J8077" s="199"/>
    </row>
    <row r="8078" spans="9:10" x14ac:dyDescent="0.25">
      <c r="I8078" s="199"/>
      <c r="J8078" s="199"/>
    </row>
    <row r="8079" spans="9:10" x14ac:dyDescent="0.25">
      <c r="I8079" s="199"/>
      <c r="J8079" s="199"/>
    </row>
    <row r="8080" spans="9:10" x14ac:dyDescent="0.25">
      <c r="I8080" s="199"/>
      <c r="J8080" s="199"/>
    </row>
    <row r="8081" spans="9:10" x14ac:dyDescent="0.25">
      <c r="I8081" s="199"/>
      <c r="J8081" s="199"/>
    </row>
    <row r="8082" spans="9:10" x14ac:dyDescent="0.25">
      <c r="I8082" s="199"/>
      <c r="J8082" s="199"/>
    </row>
    <row r="8083" spans="9:10" x14ac:dyDescent="0.25">
      <c r="I8083" s="199"/>
      <c r="J8083" s="199"/>
    </row>
    <row r="8084" spans="9:10" x14ac:dyDescent="0.25">
      <c r="I8084" s="199"/>
      <c r="J8084" s="199"/>
    </row>
    <row r="8085" spans="9:10" x14ac:dyDescent="0.25">
      <c r="I8085" s="199"/>
      <c r="J8085" s="199"/>
    </row>
    <row r="8086" spans="9:10" x14ac:dyDescent="0.25">
      <c r="I8086" s="199"/>
      <c r="J8086" s="199"/>
    </row>
    <row r="8087" spans="9:10" x14ac:dyDescent="0.25">
      <c r="I8087" s="199"/>
      <c r="J8087" s="199"/>
    </row>
    <row r="8088" spans="9:10" x14ac:dyDescent="0.25">
      <c r="I8088" s="199"/>
      <c r="J8088" s="199"/>
    </row>
    <row r="8089" spans="9:10" x14ac:dyDescent="0.25">
      <c r="I8089" s="199"/>
      <c r="J8089" s="199"/>
    </row>
    <row r="8090" spans="9:10" x14ac:dyDescent="0.25">
      <c r="I8090" s="199"/>
      <c r="J8090" s="199"/>
    </row>
    <row r="8091" spans="9:10" x14ac:dyDescent="0.25">
      <c r="I8091" s="199"/>
      <c r="J8091" s="199"/>
    </row>
    <row r="8092" spans="9:10" x14ac:dyDescent="0.25">
      <c r="I8092" s="199"/>
      <c r="J8092" s="199"/>
    </row>
    <row r="8093" spans="9:10" x14ac:dyDescent="0.25">
      <c r="I8093" s="199"/>
      <c r="J8093" s="199"/>
    </row>
    <row r="8094" spans="9:10" x14ac:dyDescent="0.25">
      <c r="I8094" s="199"/>
      <c r="J8094" s="199"/>
    </row>
    <row r="8095" spans="9:10" x14ac:dyDescent="0.25">
      <c r="I8095" s="199"/>
      <c r="J8095" s="199"/>
    </row>
    <row r="8096" spans="9:10" x14ac:dyDescent="0.25">
      <c r="I8096" s="199"/>
      <c r="J8096" s="199"/>
    </row>
    <row r="8097" spans="9:10" x14ac:dyDescent="0.25">
      <c r="I8097" s="199"/>
      <c r="J8097" s="199"/>
    </row>
    <row r="8098" spans="9:10" x14ac:dyDescent="0.25">
      <c r="I8098" s="199"/>
      <c r="J8098" s="199"/>
    </row>
    <row r="8099" spans="9:10" x14ac:dyDescent="0.25">
      <c r="I8099" s="199"/>
      <c r="J8099" s="199"/>
    </row>
    <row r="8100" spans="9:10" x14ac:dyDescent="0.25">
      <c r="I8100" s="199"/>
      <c r="J8100" s="199"/>
    </row>
    <row r="8101" spans="9:10" x14ac:dyDescent="0.25">
      <c r="I8101" s="199"/>
      <c r="J8101" s="199"/>
    </row>
    <row r="8102" spans="9:10" x14ac:dyDescent="0.25">
      <c r="I8102" s="199"/>
      <c r="J8102" s="199"/>
    </row>
    <row r="8103" spans="9:10" x14ac:dyDescent="0.25">
      <c r="I8103" s="199"/>
      <c r="J8103" s="199"/>
    </row>
    <row r="8104" spans="9:10" x14ac:dyDescent="0.25">
      <c r="I8104" s="199"/>
      <c r="J8104" s="199"/>
    </row>
    <row r="8105" spans="9:10" x14ac:dyDescent="0.25">
      <c r="I8105" s="199"/>
      <c r="J8105" s="199"/>
    </row>
    <row r="8106" spans="9:10" x14ac:dyDescent="0.25">
      <c r="I8106" s="199"/>
      <c r="J8106" s="199"/>
    </row>
    <row r="8107" spans="9:10" x14ac:dyDescent="0.25">
      <c r="I8107" s="199"/>
      <c r="J8107" s="199"/>
    </row>
    <row r="8108" spans="9:10" x14ac:dyDescent="0.25">
      <c r="I8108" s="199"/>
      <c r="J8108" s="199"/>
    </row>
    <row r="8109" spans="9:10" x14ac:dyDescent="0.25">
      <c r="I8109" s="199"/>
      <c r="J8109" s="199"/>
    </row>
    <row r="8110" spans="9:10" x14ac:dyDescent="0.25">
      <c r="I8110" s="199"/>
      <c r="J8110" s="199"/>
    </row>
    <row r="8111" spans="9:10" x14ac:dyDescent="0.25">
      <c r="I8111" s="199"/>
      <c r="J8111" s="199"/>
    </row>
    <row r="8112" spans="9:10" x14ac:dyDescent="0.25">
      <c r="I8112" s="199"/>
      <c r="J8112" s="199"/>
    </row>
    <row r="8113" spans="9:10" x14ac:dyDescent="0.25">
      <c r="I8113" s="199"/>
      <c r="J8113" s="199"/>
    </row>
    <row r="8114" spans="9:10" x14ac:dyDescent="0.25">
      <c r="I8114" s="199"/>
      <c r="J8114" s="199"/>
    </row>
    <row r="8115" spans="9:10" x14ac:dyDescent="0.25">
      <c r="I8115" s="199"/>
      <c r="J8115" s="199"/>
    </row>
    <row r="8116" spans="9:10" x14ac:dyDescent="0.25">
      <c r="I8116" s="199"/>
      <c r="J8116" s="199"/>
    </row>
    <row r="8117" spans="9:10" x14ac:dyDescent="0.25">
      <c r="I8117" s="199"/>
      <c r="J8117" s="199"/>
    </row>
    <row r="8118" spans="9:10" x14ac:dyDescent="0.25">
      <c r="I8118" s="199"/>
      <c r="J8118" s="199"/>
    </row>
    <row r="8119" spans="9:10" x14ac:dyDescent="0.25">
      <c r="I8119" s="199"/>
      <c r="J8119" s="199"/>
    </row>
    <row r="8120" spans="9:10" x14ac:dyDescent="0.25">
      <c r="I8120" s="199"/>
      <c r="J8120" s="199"/>
    </row>
    <row r="8121" spans="9:10" x14ac:dyDescent="0.25">
      <c r="I8121" s="199"/>
      <c r="J8121" s="199"/>
    </row>
    <row r="8122" spans="9:10" x14ac:dyDescent="0.25">
      <c r="I8122" s="199"/>
      <c r="J8122" s="199"/>
    </row>
    <row r="8123" spans="9:10" x14ac:dyDescent="0.25">
      <c r="I8123" s="199"/>
      <c r="J8123" s="199"/>
    </row>
    <row r="8124" spans="9:10" x14ac:dyDescent="0.25">
      <c r="I8124" s="199"/>
      <c r="J8124" s="199"/>
    </row>
    <row r="8125" spans="9:10" x14ac:dyDescent="0.25">
      <c r="I8125" s="199"/>
      <c r="J8125" s="199"/>
    </row>
    <row r="8126" spans="9:10" x14ac:dyDescent="0.25">
      <c r="I8126" s="199"/>
      <c r="J8126" s="199"/>
    </row>
    <row r="8127" spans="9:10" x14ac:dyDescent="0.25">
      <c r="I8127" s="199"/>
      <c r="J8127" s="199"/>
    </row>
    <row r="8128" spans="9:10" x14ac:dyDescent="0.25">
      <c r="I8128" s="199"/>
      <c r="J8128" s="199"/>
    </row>
    <row r="8129" spans="9:10" x14ac:dyDescent="0.25">
      <c r="I8129" s="199"/>
      <c r="J8129" s="199"/>
    </row>
    <row r="8130" spans="9:10" x14ac:dyDescent="0.25">
      <c r="I8130" s="199"/>
      <c r="J8130" s="199"/>
    </row>
    <row r="8131" spans="9:10" x14ac:dyDescent="0.25">
      <c r="I8131" s="199"/>
      <c r="J8131" s="199"/>
    </row>
    <row r="8132" spans="9:10" x14ac:dyDescent="0.25">
      <c r="I8132" s="199"/>
      <c r="J8132" s="199"/>
    </row>
    <row r="8133" spans="9:10" x14ac:dyDescent="0.25">
      <c r="I8133" s="199"/>
      <c r="J8133" s="199"/>
    </row>
    <row r="8134" spans="9:10" x14ac:dyDescent="0.25">
      <c r="I8134" s="199"/>
      <c r="J8134" s="199"/>
    </row>
    <row r="8135" spans="9:10" x14ac:dyDescent="0.25">
      <c r="I8135" s="199"/>
      <c r="J8135" s="199"/>
    </row>
    <row r="8136" spans="9:10" x14ac:dyDescent="0.25">
      <c r="I8136" s="199"/>
      <c r="J8136" s="199"/>
    </row>
    <row r="8137" spans="9:10" x14ac:dyDescent="0.25">
      <c r="I8137" s="199"/>
      <c r="J8137" s="199"/>
    </row>
    <row r="8138" spans="9:10" x14ac:dyDescent="0.25">
      <c r="I8138" s="199"/>
      <c r="J8138" s="199"/>
    </row>
    <row r="8139" spans="9:10" x14ac:dyDescent="0.25">
      <c r="I8139" s="199"/>
      <c r="J8139" s="199"/>
    </row>
    <row r="8140" spans="9:10" x14ac:dyDescent="0.25">
      <c r="I8140" s="199"/>
      <c r="J8140" s="199"/>
    </row>
    <row r="8141" spans="9:10" x14ac:dyDescent="0.25">
      <c r="I8141" s="199"/>
      <c r="J8141" s="199"/>
    </row>
    <row r="8142" spans="9:10" x14ac:dyDescent="0.25">
      <c r="I8142" s="199"/>
      <c r="J8142" s="199"/>
    </row>
    <row r="8143" spans="9:10" x14ac:dyDescent="0.25">
      <c r="I8143" s="199"/>
      <c r="J8143" s="199"/>
    </row>
    <row r="8144" spans="9:10" x14ac:dyDescent="0.25">
      <c r="I8144" s="199"/>
      <c r="J8144" s="199"/>
    </row>
    <row r="8145" spans="9:10" x14ac:dyDescent="0.25">
      <c r="I8145" s="199"/>
      <c r="J8145" s="199"/>
    </row>
    <row r="8146" spans="9:10" x14ac:dyDescent="0.25">
      <c r="I8146" s="199"/>
      <c r="J8146" s="199"/>
    </row>
    <row r="8147" spans="9:10" x14ac:dyDescent="0.25">
      <c r="I8147" s="199"/>
      <c r="J8147" s="199"/>
    </row>
    <row r="8148" spans="9:10" x14ac:dyDescent="0.25">
      <c r="I8148" s="199"/>
      <c r="J8148" s="199"/>
    </row>
    <row r="8149" spans="9:10" x14ac:dyDescent="0.25">
      <c r="I8149" s="199"/>
      <c r="J8149" s="199"/>
    </row>
    <row r="8150" spans="9:10" x14ac:dyDescent="0.25">
      <c r="I8150" s="199"/>
      <c r="J8150" s="199"/>
    </row>
    <row r="8151" spans="9:10" x14ac:dyDescent="0.25">
      <c r="I8151" s="199"/>
      <c r="J8151" s="199"/>
    </row>
    <row r="8152" spans="9:10" x14ac:dyDescent="0.25">
      <c r="I8152" s="199"/>
      <c r="J8152" s="199"/>
    </row>
    <row r="8153" spans="9:10" x14ac:dyDescent="0.25">
      <c r="I8153" s="199"/>
      <c r="J8153" s="199"/>
    </row>
    <row r="8154" spans="9:10" x14ac:dyDescent="0.25">
      <c r="I8154" s="199"/>
      <c r="J8154" s="199"/>
    </row>
    <row r="8155" spans="9:10" x14ac:dyDescent="0.25">
      <c r="I8155" s="199"/>
      <c r="J8155" s="199"/>
    </row>
    <row r="8156" spans="9:10" x14ac:dyDescent="0.25">
      <c r="I8156" s="199"/>
      <c r="J8156" s="199"/>
    </row>
    <row r="8157" spans="9:10" x14ac:dyDescent="0.25">
      <c r="I8157" s="199"/>
      <c r="J8157" s="199"/>
    </row>
    <row r="8158" spans="9:10" x14ac:dyDescent="0.25">
      <c r="I8158" s="199"/>
      <c r="J8158" s="199"/>
    </row>
    <row r="8159" spans="9:10" x14ac:dyDescent="0.25">
      <c r="I8159" s="199"/>
      <c r="J8159" s="199"/>
    </row>
    <row r="8160" spans="9:10" x14ac:dyDescent="0.25">
      <c r="I8160" s="199"/>
      <c r="J8160" s="199"/>
    </row>
    <row r="8161" spans="9:10" x14ac:dyDescent="0.25">
      <c r="I8161" s="199"/>
      <c r="J8161" s="199"/>
    </row>
    <row r="8162" spans="9:10" x14ac:dyDescent="0.25">
      <c r="I8162" s="199"/>
      <c r="J8162" s="199"/>
    </row>
    <row r="8163" spans="9:10" x14ac:dyDescent="0.25">
      <c r="I8163" s="199"/>
      <c r="J8163" s="199"/>
    </row>
    <row r="8164" spans="9:10" x14ac:dyDescent="0.25">
      <c r="I8164" s="199"/>
      <c r="J8164" s="199"/>
    </row>
    <row r="8165" spans="9:10" x14ac:dyDescent="0.25">
      <c r="I8165" s="199"/>
      <c r="J8165" s="199"/>
    </row>
    <row r="8166" spans="9:10" x14ac:dyDescent="0.25">
      <c r="I8166" s="199"/>
      <c r="J8166" s="199"/>
    </row>
    <row r="8167" spans="9:10" x14ac:dyDescent="0.25">
      <c r="I8167" s="199"/>
      <c r="J8167" s="199"/>
    </row>
    <row r="8168" spans="9:10" x14ac:dyDescent="0.25">
      <c r="I8168" s="199"/>
      <c r="J8168" s="199"/>
    </row>
    <row r="8169" spans="9:10" x14ac:dyDescent="0.25">
      <c r="I8169" s="199"/>
      <c r="J8169" s="199"/>
    </row>
    <row r="8170" spans="9:10" x14ac:dyDescent="0.25">
      <c r="I8170" s="199"/>
      <c r="J8170" s="199"/>
    </row>
    <row r="8171" spans="9:10" x14ac:dyDescent="0.25">
      <c r="I8171" s="199"/>
      <c r="J8171" s="199"/>
    </row>
    <row r="8172" spans="9:10" x14ac:dyDescent="0.25">
      <c r="I8172" s="199"/>
      <c r="J8172" s="199"/>
    </row>
    <row r="8173" spans="9:10" x14ac:dyDescent="0.25">
      <c r="I8173" s="199"/>
      <c r="J8173" s="199"/>
    </row>
    <row r="8174" spans="9:10" x14ac:dyDescent="0.25">
      <c r="I8174" s="199"/>
      <c r="J8174" s="199"/>
    </row>
    <row r="8175" spans="9:10" x14ac:dyDescent="0.25">
      <c r="I8175" s="199"/>
      <c r="J8175" s="199"/>
    </row>
    <row r="8176" spans="9:10" x14ac:dyDescent="0.25">
      <c r="I8176" s="199"/>
      <c r="J8176" s="199"/>
    </row>
    <row r="8177" spans="9:10" x14ac:dyDescent="0.25">
      <c r="I8177" s="199"/>
      <c r="J8177" s="199"/>
    </row>
    <row r="8178" spans="9:10" x14ac:dyDescent="0.25">
      <c r="I8178" s="199"/>
      <c r="J8178" s="199"/>
    </row>
    <row r="8179" spans="9:10" x14ac:dyDescent="0.25">
      <c r="I8179" s="199"/>
      <c r="J8179" s="199"/>
    </row>
    <row r="8180" spans="9:10" x14ac:dyDescent="0.25">
      <c r="I8180" s="199"/>
      <c r="J8180" s="199"/>
    </row>
    <row r="8181" spans="9:10" x14ac:dyDescent="0.25">
      <c r="I8181" s="199"/>
      <c r="J8181" s="199"/>
    </row>
    <row r="8182" spans="9:10" x14ac:dyDescent="0.25">
      <c r="I8182" s="199"/>
      <c r="J8182" s="199"/>
    </row>
    <row r="8183" spans="9:10" x14ac:dyDescent="0.25">
      <c r="I8183" s="199"/>
      <c r="J8183" s="199"/>
    </row>
    <row r="8184" spans="9:10" x14ac:dyDescent="0.25">
      <c r="I8184" s="199"/>
      <c r="J8184" s="199"/>
    </row>
    <row r="8185" spans="9:10" x14ac:dyDescent="0.25">
      <c r="I8185" s="199"/>
      <c r="J8185" s="199"/>
    </row>
    <row r="8186" spans="9:10" x14ac:dyDescent="0.25">
      <c r="I8186" s="199"/>
      <c r="J8186" s="199"/>
    </row>
    <row r="8187" spans="9:10" x14ac:dyDescent="0.25">
      <c r="I8187" s="199"/>
      <c r="J8187" s="199"/>
    </row>
    <row r="8188" spans="9:10" x14ac:dyDescent="0.25">
      <c r="I8188" s="199"/>
      <c r="J8188" s="199"/>
    </row>
    <row r="8189" spans="9:10" x14ac:dyDescent="0.25">
      <c r="I8189" s="199"/>
      <c r="J8189" s="199"/>
    </row>
    <row r="8190" spans="9:10" x14ac:dyDescent="0.25">
      <c r="I8190" s="199"/>
      <c r="J8190" s="199"/>
    </row>
    <row r="8191" spans="9:10" x14ac:dyDescent="0.25">
      <c r="I8191" s="199"/>
      <c r="J8191" s="199"/>
    </row>
    <row r="8192" spans="9:10" x14ac:dyDescent="0.25">
      <c r="I8192" s="199"/>
      <c r="J8192" s="199"/>
    </row>
    <row r="8193" spans="9:10" x14ac:dyDescent="0.25">
      <c r="I8193" s="199"/>
      <c r="J8193" s="199"/>
    </row>
    <row r="8194" spans="9:10" x14ac:dyDescent="0.25">
      <c r="I8194" s="199"/>
      <c r="J8194" s="199"/>
    </row>
    <row r="8195" spans="9:10" x14ac:dyDescent="0.25">
      <c r="I8195" s="199"/>
      <c r="J8195" s="199"/>
    </row>
    <row r="8196" spans="9:10" x14ac:dyDescent="0.25">
      <c r="I8196" s="199"/>
      <c r="J8196" s="199"/>
    </row>
    <row r="8197" spans="9:10" x14ac:dyDescent="0.25">
      <c r="I8197" s="199"/>
      <c r="J8197" s="199"/>
    </row>
    <row r="8198" spans="9:10" x14ac:dyDescent="0.25">
      <c r="I8198" s="199"/>
      <c r="J8198" s="199"/>
    </row>
    <row r="8199" spans="9:10" x14ac:dyDescent="0.25">
      <c r="I8199" s="199"/>
      <c r="J8199" s="199"/>
    </row>
    <row r="8200" spans="9:10" x14ac:dyDescent="0.25">
      <c r="I8200" s="199"/>
      <c r="J8200" s="199"/>
    </row>
    <row r="8201" spans="9:10" x14ac:dyDescent="0.25">
      <c r="I8201" s="199"/>
      <c r="J8201" s="199"/>
    </row>
    <row r="8202" spans="9:10" x14ac:dyDescent="0.25">
      <c r="I8202" s="199"/>
      <c r="J8202" s="199"/>
    </row>
    <row r="8203" spans="9:10" x14ac:dyDescent="0.25">
      <c r="I8203" s="199"/>
      <c r="J8203" s="199"/>
    </row>
    <row r="8204" spans="9:10" x14ac:dyDescent="0.25">
      <c r="I8204" s="199"/>
      <c r="J8204" s="199"/>
    </row>
    <row r="8205" spans="9:10" x14ac:dyDescent="0.25">
      <c r="I8205" s="199"/>
      <c r="J8205" s="199"/>
    </row>
    <row r="8206" spans="9:10" x14ac:dyDescent="0.25">
      <c r="I8206" s="199"/>
      <c r="J8206" s="199"/>
    </row>
    <row r="8207" spans="9:10" x14ac:dyDescent="0.25">
      <c r="I8207" s="199"/>
      <c r="J8207" s="199"/>
    </row>
    <row r="8208" spans="9:10" x14ac:dyDescent="0.25">
      <c r="I8208" s="199"/>
      <c r="J8208" s="199"/>
    </row>
    <row r="8209" spans="9:10" x14ac:dyDescent="0.25">
      <c r="I8209" s="199"/>
      <c r="J8209" s="199"/>
    </row>
    <row r="8210" spans="9:10" x14ac:dyDescent="0.25">
      <c r="I8210" s="199"/>
      <c r="J8210" s="199"/>
    </row>
    <row r="8211" spans="9:10" x14ac:dyDescent="0.25">
      <c r="I8211" s="199"/>
      <c r="J8211" s="199"/>
    </row>
    <row r="8212" spans="9:10" x14ac:dyDescent="0.25">
      <c r="I8212" s="199"/>
      <c r="J8212" s="199"/>
    </row>
    <row r="8213" spans="9:10" x14ac:dyDescent="0.25">
      <c r="I8213" s="199"/>
      <c r="J8213" s="199"/>
    </row>
    <row r="8214" spans="9:10" x14ac:dyDescent="0.25">
      <c r="I8214" s="199"/>
      <c r="J8214" s="199"/>
    </row>
    <row r="8215" spans="9:10" x14ac:dyDescent="0.25">
      <c r="I8215" s="199"/>
      <c r="J8215" s="199"/>
    </row>
    <row r="8216" spans="9:10" x14ac:dyDescent="0.25">
      <c r="I8216" s="199"/>
      <c r="J8216" s="199"/>
    </row>
    <row r="8217" spans="9:10" x14ac:dyDescent="0.25">
      <c r="I8217" s="199"/>
      <c r="J8217" s="199"/>
    </row>
    <row r="8218" spans="9:10" x14ac:dyDescent="0.25">
      <c r="I8218" s="199"/>
      <c r="J8218" s="199"/>
    </row>
    <row r="8219" spans="9:10" x14ac:dyDescent="0.25">
      <c r="I8219" s="199"/>
      <c r="J8219" s="199"/>
    </row>
    <row r="8220" spans="9:10" x14ac:dyDescent="0.25">
      <c r="I8220" s="199"/>
      <c r="J8220" s="199"/>
    </row>
    <row r="8221" spans="9:10" x14ac:dyDescent="0.25">
      <c r="I8221" s="199"/>
      <c r="J8221" s="199"/>
    </row>
    <row r="8222" spans="9:10" x14ac:dyDescent="0.25">
      <c r="I8222" s="199"/>
      <c r="J8222" s="199"/>
    </row>
    <row r="8223" spans="9:10" x14ac:dyDescent="0.25">
      <c r="I8223" s="199"/>
      <c r="J8223" s="199"/>
    </row>
    <row r="8224" spans="9:10" x14ac:dyDescent="0.25">
      <c r="I8224" s="199"/>
      <c r="J8224" s="199"/>
    </row>
    <row r="8225" spans="9:10" x14ac:dyDescent="0.25">
      <c r="I8225" s="199"/>
      <c r="J8225" s="199"/>
    </row>
    <row r="8226" spans="9:10" x14ac:dyDescent="0.25">
      <c r="I8226" s="199"/>
      <c r="J8226" s="199"/>
    </row>
    <row r="8227" spans="9:10" x14ac:dyDescent="0.25">
      <c r="I8227" s="199"/>
      <c r="J8227" s="199"/>
    </row>
    <row r="8228" spans="9:10" x14ac:dyDescent="0.25">
      <c r="I8228" s="199"/>
      <c r="J8228" s="199"/>
    </row>
    <row r="8229" spans="9:10" x14ac:dyDescent="0.25">
      <c r="I8229" s="199"/>
      <c r="J8229" s="199"/>
    </row>
    <row r="8230" spans="9:10" x14ac:dyDescent="0.25">
      <c r="I8230" s="199"/>
      <c r="J8230" s="199"/>
    </row>
    <row r="8231" spans="9:10" x14ac:dyDescent="0.25">
      <c r="I8231" s="199"/>
      <c r="J8231" s="199"/>
    </row>
    <row r="8232" spans="9:10" x14ac:dyDescent="0.25">
      <c r="I8232" s="199"/>
      <c r="J8232" s="199"/>
    </row>
    <row r="8233" spans="9:10" x14ac:dyDescent="0.25">
      <c r="I8233" s="199"/>
      <c r="J8233" s="199"/>
    </row>
    <row r="8234" spans="9:10" x14ac:dyDescent="0.25">
      <c r="I8234" s="199"/>
      <c r="J8234" s="199"/>
    </row>
    <row r="8235" spans="9:10" x14ac:dyDescent="0.25">
      <c r="I8235" s="199"/>
      <c r="J8235" s="199"/>
    </row>
    <row r="8236" spans="9:10" x14ac:dyDescent="0.25">
      <c r="I8236" s="199"/>
      <c r="J8236" s="199"/>
    </row>
    <row r="8237" spans="9:10" x14ac:dyDescent="0.25">
      <c r="I8237" s="199"/>
      <c r="J8237" s="199"/>
    </row>
    <row r="8238" spans="9:10" x14ac:dyDescent="0.25">
      <c r="I8238" s="199"/>
      <c r="J8238" s="199"/>
    </row>
    <row r="8239" spans="9:10" x14ac:dyDescent="0.25">
      <c r="I8239" s="199"/>
      <c r="J8239" s="199"/>
    </row>
    <row r="8240" spans="9:10" x14ac:dyDescent="0.25">
      <c r="I8240" s="199"/>
      <c r="J8240" s="199"/>
    </row>
    <row r="8241" spans="9:10" x14ac:dyDescent="0.25">
      <c r="I8241" s="199"/>
      <c r="J8241" s="199"/>
    </row>
    <row r="8242" spans="9:10" x14ac:dyDescent="0.25">
      <c r="I8242" s="199"/>
      <c r="J8242" s="199"/>
    </row>
    <row r="8243" spans="9:10" x14ac:dyDescent="0.25">
      <c r="I8243" s="199"/>
      <c r="J8243" s="199"/>
    </row>
    <row r="8244" spans="9:10" x14ac:dyDescent="0.25">
      <c r="I8244" s="199"/>
      <c r="J8244" s="199"/>
    </row>
    <row r="8245" spans="9:10" x14ac:dyDescent="0.25">
      <c r="I8245" s="199"/>
      <c r="J8245" s="199"/>
    </row>
    <row r="8246" spans="9:10" x14ac:dyDescent="0.25">
      <c r="I8246" s="199"/>
      <c r="J8246" s="199"/>
    </row>
    <row r="8247" spans="9:10" x14ac:dyDescent="0.25">
      <c r="I8247" s="199"/>
      <c r="J8247" s="199"/>
    </row>
    <row r="8248" spans="9:10" x14ac:dyDescent="0.25">
      <c r="I8248" s="199"/>
      <c r="J8248" s="199"/>
    </row>
    <row r="8249" spans="9:10" x14ac:dyDescent="0.25">
      <c r="I8249" s="199"/>
      <c r="J8249" s="199"/>
    </row>
    <row r="8250" spans="9:10" x14ac:dyDescent="0.25">
      <c r="I8250" s="199"/>
      <c r="J8250" s="199"/>
    </row>
    <row r="8251" spans="9:10" x14ac:dyDescent="0.25">
      <c r="I8251" s="199"/>
      <c r="J8251" s="199"/>
    </row>
    <row r="8252" spans="9:10" x14ac:dyDescent="0.25">
      <c r="I8252" s="199"/>
      <c r="J8252" s="199"/>
    </row>
    <row r="8253" spans="9:10" x14ac:dyDescent="0.25">
      <c r="I8253" s="199"/>
      <c r="J8253" s="199"/>
    </row>
    <row r="8254" spans="9:10" x14ac:dyDescent="0.25">
      <c r="I8254" s="199"/>
      <c r="J8254" s="199"/>
    </row>
    <row r="8255" spans="9:10" x14ac:dyDescent="0.25">
      <c r="I8255" s="199"/>
      <c r="J8255" s="199"/>
    </row>
    <row r="8256" spans="9:10" x14ac:dyDescent="0.25">
      <c r="I8256" s="199"/>
      <c r="J8256" s="199"/>
    </row>
    <row r="8257" spans="9:10" x14ac:dyDescent="0.25">
      <c r="I8257" s="199"/>
      <c r="J8257" s="199"/>
    </row>
    <row r="8258" spans="9:10" x14ac:dyDescent="0.25">
      <c r="I8258" s="199"/>
      <c r="J8258" s="199"/>
    </row>
    <row r="8259" spans="9:10" x14ac:dyDescent="0.25">
      <c r="I8259" s="199"/>
      <c r="J8259" s="199"/>
    </row>
    <row r="8260" spans="9:10" x14ac:dyDescent="0.25">
      <c r="I8260" s="199"/>
      <c r="J8260" s="199"/>
    </row>
    <row r="8261" spans="9:10" x14ac:dyDescent="0.25">
      <c r="I8261" s="199"/>
      <c r="J8261" s="199"/>
    </row>
    <row r="8262" spans="9:10" x14ac:dyDescent="0.25">
      <c r="I8262" s="199"/>
      <c r="J8262" s="199"/>
    </row>
    <row r="8263" spans="9:10" x14ac:dyDescent="0.25">
      <c r="I8263" s="199"/>
      <c r="J8263" s="199"/>
    </row>
    <row r="8264" spans="9:10" x14ac:dyDescent="0.25">
      <c r="I8264" s="199"/>
      <c r="J8264" s="199"/>
    </row>
    <row r="8265" spans="9:10" x14ac:dyDescent="0.25">
      <c r="I8265" s="199"/>
      <c r="J8265" s="199"/>
    </row>
    <row r="8266" spans="9:10" x14ac:dyDescent="0.25">
      <c r="I8266" s="199"/>
      <c r="J8266" s="199"/>
    </row>
    <row r="8267" spans="9:10" x14ac:dyDescent="0.25">
      <c r="I8267" s="199"/>
      <c r="J8267" s="199"/>
    </row>
    <row r="8268" spans="9:10" x14ac:dyDescent="0.25">
      <c r="I8268" s="199"/>
      <c r="J8268" s="199"/>
    </row>
    <row r="8269" spans="9:10" x14ac:dyDescent="0.25">
      <c r="I8269" s="199"/>
      <c r="J8269" s="199"/>
    </row>
    <row r="8270" spans="9:10" x14ac:dyDescent="0.25">
      <c r="I8270" s="199"/>
      <c r="J8270" s="199"/>
    </row>
    <row r="8271" spans="9:10" x14ac:dyDescent="0.25">
      <c r="I8271" s="199"/>
      <c r="J8271" s="199"/>
    </row>
    <row r="8272" spans="9:10" x14ac:dyDescent="0.25">
      <c r="I8272" s="199"/>
      <c r="J8272" s="199"/>
    </row>
    <row r="8273" spans="9:10" x14ac:dyDescent="0.25">
      <c r="I8273" s="199"/>
      <c r="J8273" s="199"/>
    </row>
    <row r="8274" spans="9:10" x14ac:dyDescent="0.25">
      <c r="I8274" s="199"/>
      <c r="J8274" s="199"/>
    </row>
    <row r="8275" spans="9:10" x14ac:dyDescent="0.25">
      <c r="I8275" s="199"/>
      <c r="J8275" s="199"/>
    </row>
    <row r="8276" spans="9:10" x14ac:dyDescent="0.25">
      <c r="I8276" s="199"/>
      <c r="J8276" s="199"/>
    </row>
    <row r="8277" spans="9:10" x14ac:dyDescent="0.25">
      <c r="I8277" s="199"/>
      <c r="J8277" s="199"/>
    </row>
    <row r="8278" spans="9:10" x14ac:dyDescent="0.25">
      <c r="I8278" s="199"/>
      <c r="J8278" s="199"/>
    </row>
    <row r="8279" spans="9:10" x14ac:dyDescent="0.25">
      <c r="I8279" s="199"/>
      <c r="J8279" s="199"/>
    </row>
    <row r="8280" spans="9:10" x14ac:dyDescent="0.25">
      <c r="I8280" s="199"/>
      <c r="J8280" s="199"/>
    </row>
    <row r="8281" spans="9:10" x14ac:dyDescent="0.25">
      <c r="I8281" s="199"/>
      <c r="J8281" s="199"/>
    </row>
    <row r="8282" spans="9:10" x14ac:dyDescent="0.25">
      <c r="I8282" s="199"/>
      <c r="J8282" s="199"/>
    </row>
    <row r="8283" spans="9:10" x14ac:dyDescent="0.25">
      <c r="I8283" s="199"/>
      <c r="J8283" s="199"/>
    </row>
    <row r="8284" spans="9:10" x14ac:dyDescent="0.25">
      <c r="I8284" s="199"/>
      <c r="J8284" s="199"/>
    </row>
    <row r="8285" spans="9:10" x14ac:dyDescent="0.25">
      <c r="I8285" s="199"/>
      <c r="J8285" s="199"/>
    </row>
    <row r="8286" spans="9:10" x14ac:dyDescent="0.25">
      <c r="I8286" s="199"/>
      <c r="J8286" s="199"/>
    </row>
    <row r="8287" spans="9:10" x14ac:dyDescent="0.25">
      <c r="I8287" s="199"/>
      <c r="J8287" s="199"/>
    </row>
    <row r="8288" spans="9:10" x14ac:dyDescent="0.25">
      <c r="I8288" s="199"/>
      <c r="J8288" s="199"/>
    </row>
    <row r="8289" spans="9:10" x14ac:dyDescent="0.25">
      <c r="I8289" s="199"/>
      <c r="J8289" s="199"/>
    </row>
    <row r="8290" spans="9:10" x14ac:dyDescent="0.25">
      <c r="I8290" s="199"/>
      <c r="J8290" s="199"/>
    </row>
    <row r="8291" spans="9:10" x14ac:dyDescent="0.25">
      <c r="I8291" s="199"/>
      <c r="J8291" s="199"/>
    </row>
    <row r="8292" spans="9:10" x14ac:dyDescent="0.25">
      <c r="I8292" s="199"/>
      <c r="J8292" s="199"/>
    </row>
    <row r="8293" spans="9:10" x14ac:dyDescent="0.25">
      <c r="I8293" s="199"/>
      <c r="J8293" s="199"/>
    </row>
    <row r="8294" spans="9:10" x14ac:dyDescent="0.25">
      <c r="I8294" s="199"/>
      <c r="J8294" s="199"/>
    </row>
    <row r="8295" spans="9:10" x14ac:dyDescent="0.25">
      <c r="I8295" s="199"/>
      <c r="J8295" s="199"/>
    </row>
    <row r="8296" spans="9:10" x14ac:dyDescent="0.25">
      <c r="I8296" s="199"/>
      <c r="J8296" s="199"/>
    </row>
    <row r="8297" spans="9:10" x14ac:dyDescent="0.25">
      <c r="I8297" s="199"/>
      <c r="J8297" s="199"/>
    </row>
    <row r="8298" spans="9:10" x14ac:dyDescent="0.25">
      <c r="I8298" s="199"/>
      <c r="J8298" s="199"/>
    </row>
    <row r="8299" spans="9:10" x14ac:dyDescent="0.25">
      <c r="I8299" s="199"/>
      <c r="J8299" s="199"/>
    </row>
    <row r="8300" spans="9:10" x14ac:dyDescent="0.25">
      <c r="I8300" s="199"/>
      <c r="J8300" s="199"/>
    </row>
    <row r="8301" spans="9:10" x14ac:dyDescent="0.25">
      <c r="I8301" s="199"/>
      <c r="J8301" s="199"/>
    </row>
    <row r="8302" spans="9:10" x14ac:dyDescent="0.25">
      <c r="I8302" s="199"/>
      <c r="J8302" s="199"/>
    </row>
    <row r="8303" spans="9:10" x14ac:dyDescent="0.25">
      <c r="I8303" s="199"/>
      <c r="J8303" s="199"/>
    </row>
    <row r="8304" spans="9:10" x14ac:dyDescent="0.25">
      <c r="I8304" s="199"/>
      <c r="J8304" s="199"/>
    </row>
    <row r="8305" spans="9:10" x14ac:dyDescent="0.25">
      <c r="I8305" s="199"/>
      <c r="J8305" s="199"/>
    </row>
    <row r="8306" spans="9:10" x14ac:dyDescent="0.25">
      <c r="I8306" s="199"/>
      <c r="J8306" s="199"/>
    </row>
    <row r="8307" spans="9:10" x14ac:dyDescent="0.25">
      <c r="I8307" s="199"/>
      <c r="J8307" s="199"/>
    </row>
    <row r="8308" spans="9:10" x14ac:dyDescent="0.25">
      <c r="I8308" s="199"/>
      <c r="J8308" s="199"/>
    </row>
    <row r="8309" spans="9:10" x14ac:dyDescent="0.25">
      <c r="I8309" s="199"/>
      <c r="J8309" s="199"/>
    </row>
    <row r="8310" spans="9:10" x14ac:dyDescent="0.25">
      <c r="I8310" s="199"/>
      <c r="J8310" s="199"/>
    </row>
    <row r="8311" spans="9:10" x14ac:dyDescent="0.25">
      <c r="I8311" s="199"/>
      <c r="J8311" s="199"/>
    </row>
    <row r="8312" spans="9:10" x14ac:dyDescent="0.25">
      <c r="I8312" s="199"/>
      <c r="J8312" s="199"/>
    </row>
    <row r="8313" spans="9:10" x14ac:dyDescent="0.25">
      <c r="I8313" s="199"/>
      <c r="J8313" s="199"/>
    </row>
    <row r="8314" spans="9:10" x14ac:dyDescent="0.25">
      <c r="I8314" s="199"/>
      <c r="J8314" s="199"/>
    </row>
    <row r="8315" spans="9:10" x14ac:dyDescent="0.25">
      <c r="I8315" s="199"/>
      <c r="J8315" s="199"/>
    </row>
    <row r="8316" spans="9:10" x14ac:dyDescent="0.25">
      <c r="I8316" s="199"/>
      <c r="J8316" s="199"/>
    </row>
    <row r="8317" spans="9:10" x14ac:dyDescent="0.25">
      <c r="I8317" s="199"/>
      <c r="J8317" s="199"/>
    </row>
    <row r="8318" spans="9:10" x14ac:dyDescent="0.25">
      <c r="I8318" s="199"/>
      <c r="J8318" s="199"/>
    </row>
    <row r="8319" spans="9:10" x14ac:dyDescent="0.25">
      <c r="I8319" s="199"/>
      <c r="J8319" s="199"/>
    </row>
    <row r="8320" spans="9:10" x14ac:dyDescent="0.25">
      <c r="I8320" s="199"/>
      <c r="J8320" s="199"/>
    </row>
    <row r="8321" spans="9:10" x14ac:dyDescent="0.25">
      <c r="I8321" s="199"/>
      <c r="J8321" s="199"/>
    </row>
    <row r="8322" spans="9:10" x14ac:dyDescent="0.25">
      <c r="I8322" s="199"/>
      <c r="J8322" s="199"/>
    </row>
    <row r="8323" spans="9:10" x14ac:dyDescent="0.25">
      <c r="I8323" s="199"/>
      <c r="J8323" s="199"/>
    </row>
    <row r="8324" spans="9:10" x14ac:dyDescent="0.25">
      <c r="I8324" s="199"/>
      <c r="J8324" s="199"/>
    </row>
    <row r="8325" spans="9:10" x14ac:dyDescent="0.25">
      <c r="I8325" s="199"/>
      <c r="J8325" s="199"/>
    </row>
    <row r="8326" spans="9:10" x14ac:dyDescent="0.25">
      <c r="I8326" s="199"/>
      <c r="J8326" s="199"/>
    </row>
    <row r="8327" spans="9:10" x14ac:dyDescent="0.25">
      <c r="I8327" s="199"/>
      <c r="J8327" s="199"/>
    </row>
    <row r="8328" spans="9:10" x14ac:dyDescent="0.25">
      <c r="I8328" s="199"/>
      <c r="J8328" s="199"/>
    </row>
    <row r="8329" spans="9:10" x14ac:dyDescent="0.25">
      <c r="I8329" s="199"/>
      <c r="J8329" s="199"/>
    </row>
    <row r="8330" spans="9:10" x14ac:dyDescent="0.25">
      <c r="I8330" s="199"/>
      <c r="J8330" s="199"/>
    </row>
    <row r="8331" spans="9:10" x14ac:dyDescent="0.25">
      <c r="I8331" s="199"/>
      <c r="J8331" s="199"/>
    </row>
    <row r="8332" spans="9:10" x14ac:dyDescent="0.25">
      <c r="I8332" s="199"/>
      <c r="J8332" s="199"/>
    </row>
    <row r="8333" spans="9:10" x14ac:dyDescent="0.25">
      <c r="I8333" s="199"/>
      <c r="J8333" s="199"/>
    </row>
    <row r="8334" spans="9:10" x14ac:dyDescent="0.25">
      <c r="I8334" s="199"/>
      <c r="J8334" s="199"/>
    </row>
    <row r="8335" spans="9:10" x14ac:dyDescent="0.25">
      <c r="I8335" s="199"/>
      <c r="J8335" s="199"/>
    </row>
    <row r="8336" spans="9:10" x14ac:dyDescent="0.25">
      <c r="I8336" s="199"/>
      <c r="J8336" s="199"/>
    </row>
    <row r="8337" spans="9:10" x14ac:dyDescent="0.25">
      <c r="I8337" s="199"/>
      <c r="J8337" s="199"/>
    </row>
    <row r="8338" spans="9:10" x14ac:dyDescent="0.25">
      <c r="I8338" s="199"/>
      <c r="J8338" s="199"/>
    </row>
    <row r="8339" spans="9:10" x14ac:dyDescent="0.25">
      <c r="I8339" s="199"/>
      <c r="J8339" s="199"/>
    </row>
    <row r="8340" spans="9:10" x14ac:dyDescent="0.25">
      <c r="I8340" s="199"/>
      <c r="J8340" s="199"/>
    </row>
    <row r="8341" spans="9:10" x14ac:dyDescent="0.25">
      <c r="I8341" s="199"/>
      <c r="J8341" s="199"/>
    </row>
    <row r="8342" spans="9:10" x14ac:dyDescent="0.25">
      <c r="I8342" s="199"/>
      <c r="J8342" s="199"/>
    </row>
    <row r="8343" spans="9:10" x14ac:dyDescent="0.25">
      <c r="I8343" s="199"/>
      <c r="J8343" s="199"/>
    </row>
    <row r="8344" spans="9:10" x14ac:dyDescent="0.25">
      <c r="I8344" s="199"/>
      <c r="J8344" s="199"/>
    </row>
    <row r="8345" spans="9:10" x14ac:dyDescent="0.25">
      <c r="I8345" s="199"/>
      <c r="J8345" s="199"/>
    </row>
    <row r="8346" spans="9:10" x14ac:dyDescent="0.25">
      <c r="I8346" s="199"/>
      <c r="J8346" s="199"/>
    </row>
    <row r="8347" spans="9:10" x14ac:dyDescent="0.25">
      <c r="I8347" s="199"/>
      <c r="J8347" s="199"/>
    </row>
    <row r="8348" spans="9:10" x14ac:dyDescent="0.25">
      <c r="I8348" s="199"/>
      <c r="J8348" s="199"/>
    </row>
    <row r="8349" spans="9:10" x14ac:dyDescent="0.25">
      <c r="I8349" s="199"/>
      <c r="J8349" s="199"/>
    </row>
    <row r="8350" spans="9:10" x14ac:dyDescent="0.25">
      <c r="I8350" s="199"/>
      <c r="J8350" s="199"/>
    </row>
    <row r="8351" spans="9:10" x14ac:dyDescent="0.25">
      <c r="I8351" s="199"/>
      <c r="J8351" s="199"/>
    </row>
    <row r="8352" spans="9:10" x14ac:dyDescent="0.25">
      <c r="I8352" s="199"/>
      <c r="J8352" s="199"/>
    </row>
    <row r="8353" spans="9:10" x14ac:dyDescent="0.25">
      <c r="I8353" s="199"/>
      <c r="J8353" s="199"/>
    </row>
    <row r="8354" spans="9:10" x14ac:dyDescent="0.25">
      <c r="I8354" s="199"/>
      <c r="J8354" s="199"/>
    </row>
    <row r="8355" spans="9:10" x14ac:dyDescent="0.25">
      <c r="I8355" s="199"/>
      <c r="J8355" s="199"/>
    </row>
    <row r="8356" spans="9:10" x14ac:dyDescent="0.25">
      <c r="I8356" s="199"/>
      <c r="J8356" s="199"/>
    </row>
    <row r="8357" spans="9:10" x14ac:dyDescent="0.25">
      <c r="I8357" s="199"/>
      <c r="J8357" s="199"/>
    </row>
    <row r="8358" spans="9:10" x14ac:dyDescent="0.25">
      <c r="I8358" s="199"/>
      <c r="J8358" s="199"/>
    </row>
    <row r="8359" spans="9:10" x14ac:dyDescent="0.25">
      <c r="I8359" s="199"/>
      <c r="J8359" s="199"/>
    </row>
    <row r="8360" spans="9:10" x14ac:dyDescent="0.25">
      <c r="I8360" s="199"/>
      <c r="J8360" s="199"/>
    </row>
    <row r="8361" spans="9:10" x14ac:dyDescent="0.25">
      <c r="I8361" s="199"/>
      <c r="J8361" s="199"/>
    </row>
    <row r="8362" spans="9:10" x14ac:dyDescent="0.25">
      <c r="I8362" s="199"/>
      <c r="J8362" s="199"/>
    </row>
    <row r="8363" spans="9:10" x14ac:dyDescent="0.25">
      <c r="I8363" s="199"/>
      <c r="J8363" s="199"/>
    </row>
    <row r="8364" spans="9:10" x14ac:dyDescent="0.25">
      <c r="I8364" s="199"/>
      <c r="J8364" s="199"/>
    </row>
    <row r="8365" spans="9:10" x14ac:dyDescent="0.25">
      <c r="I8365" s="199"/>
      <c r="J8365" s="199"/>
    </row>
    <row r="8366" spans="9:10" x14ac:dyDescent="0.25">
      <c r="I8366" s="199"/>
      <c r="J8366" s="199"/>
    </row>
    <row r="8367" spans="9:10" x14ac:dyDescent="0.25">
      <c r="I8367" s="199"/>
      <c r="J8367" s="199"/>
    </row>
    <row r="8368" spans="9:10" x14ac:dyDescent="0.25">
      <c r="I8368" s="199"/>
      <c r="J8368" s="199"/>
    </row>
    <row r="8369" spans="9:10" x14ac:dyDescent="0.25">
      <c r="I8369" s="199"/>
      <c r="J8369" s="199"/>
    </row>
    <row r="8370" spans="9:10" x14ac:dyDescent="0.25">
      <c r="I8370" s="199"/>
      <c r="J8370" s="199"/>
    </row>
    <row r="8371" spans="9:10" x14ac:dyDescent="0.25">
      <c r="I8371" s="199"/>
      <c r="J8371" s="199"/>
    </row>
    <row r="8372" spans="9:10" x14ac:dyDescent="0.25">
      <c r="I8372" s="199"/>
      <c r="J8372" s="199"/>
    </row>
    <row r="8373" spans="9:10" x14ac:dyDescent="0.25">
      <c r="I8373" s="199"/>
      <c r="J8373" s="199"/>
    </row>
    <row r="8374" spans="9:10" x14ac:dyDescent="0.25">
      <c r="I8374" s="199"/>
      <c r="J8374" s="199"/>
    </row>
    <row r="8375" spans="9:10" x14ac:dyDescent="0.25">
      <c r="I8375" s="199"/>
      <c r="J8375" s="199"/>
    </row>
    <row r="8376" spans="9:10" x14ac:dyDescent="0.25">
      <c r="I8376" s="199"/>
      <c r="J8376" s="199"/>
    </row>
    <row r="8377" spans="9:10" x14ac:dyDescent="0.25">
      <c r="I8377" s="199"/>
      <c r="J8377" s="199"/>
    </row>
    <row r="8378" spans="9:10" x14ac:dyDescent="0.25">
      <c r="I8378" s="199"/>
      <c r="J8378" s="199"/>
    </row>
    <row r="8379" spans="9:10" x14ac:dyDescent="0.25">
      <c r="I8379" s="199"/>
      <c r="J8379" s="199"/>
    </row>
    <row r="8380" spans="9:10" x14ac:dyDescent="0.25">
      <c r="I8380" s="199"/>
      <c r="J8380" s="199"/>
    </row>
    <row r="8381" spans="9:10" x14ac:dyDescent="0.25">
      <c r="I8381" s="199"/>
      <c r="J8381" s="199"/>
    </row>
    <row r="8382" spans="9:10" x14ac:dyDescent="0.25">
      <c r="I8382" s="199"/>
      <c r="J8382" s="199"/>
    </row>
    <row r="8383" spans="9:10" x14ac:dyDescent="0.25">
      <c r="I8383" s="199"/>
      <c r="J8383" s="199"/>
    </row>
    <row r="8384" spans="9:10" x14ac:dyDescent="0.25">
      <c r="I8384" s="199"/>
      <c r="J8384" s="199"/>
    </row>
    <row r="8385" spans="9:10" x14ac:dyDescent="0.25">
      <c r="I8385" s="199"/>
      <c r="J8385" s="199"/>
    </row>
    <row r="8386" spans="9:10" x14ac:dyDescent="0.25">
      <c r="I8386" s="199"/>
      <c r="J8386" s="199"/>
    </row>
    <row r="8387" spans="9:10" x14ac:dyDescent="0.25">
      <c r="I8387" s="199"/>
      <c r="J8387" s="199"/>
    </row>
    <row r="8388" spans="9:10" x14ac:dyDescent="0.25">
      <c r="I8388" s="199"/>
      <c r="J8388" s="199"/>
    </row>
    <row r="8389" spans="9:10" x14ac:dyDescent="0.25">
      <c r="I8389" s="199"/>
      <c r="J8389" s="199"/>
    </row>
    <row r="8390" spans="9:10" x14ac:dyDescent="0.25">
      <c r="I8390" s="199"/>
      <c r="J8390" s="199"/>
    </row>
    <row r="8391" spans="9:10" x14ac:dyDescent="0.25">
      <c r="I8391" s="199"/>
      <c r="J8391" s="199"/>
    </row>
    <row r="8392" spans="9:10" x14ac:dyDescent="0.25">
      <c r="I8392" s="199"/>
      <c r="J8392" s="199"/>
    </row>
    <row r="8393" spans="9:10" x14ac:dyDescent="0.25">
      <c r="I8393" s="199"/>
      <c r="J8393" s="199"/>
    </row>
    <row r="8394" spans="9:10" x14ac:dyDescent="0.25">
      <c r="I8394" s="199"/>
      <c r="J8394" s="199"/>
    </row>
    <row r="8395" spans="9:10" x14ac:dyDescent="0.25">
      <c r="I8395" s="199"/>
      <c r="J8395" s="199"/>
    </row>
    <row r="8396" spans="9:10" x14ac:dyDescent="0.25">
      <c r="I8396" s="199"/>
      <c r="J8396" s="199"/>
    </row>
    <row r="8397" spans="9:10" x14ac:dyDescent="0.25">
      <c r="I8397" s="199"/>
      <c r="J8397" s="199"/>
    </row>
    <row r="8398" spans="9:10" x14ac:dyDescent="0.25">
      <c r="I8398" s="199"/>
      <c r="J8398" s="199"/>
    </row>
    <row r="8399" spans="9:10" x14ac:dyDescent="0.25">
      <c r="I8399" s="199"/>
      <c r="J8399" s="199"/>
    </row>
    <row r="8400" spans="9:10" x14ac:dyDescent="0.25">
      <c r="I8400" s="199"/>
      <c r="J8400" s="199"/>
    </row>
    <row r="8401" spans="9:10" x14ac:dyDescent="0.25">
      <c r="I8401" s="199"/>
      <c r="J8401" s="199"/>
    </row>
    <row r="8402" spans="9:10" x14ac:dyDescent="0.25">
      <c r="I8402" s="199"/>
      <c r="J8402" s="199"/>
    </row>
    <row r="8403" spans="9:10" x14ac:dyDescent="0.25">
      <c r="I8403" s="199"/>
      <c r="J8403" s="199"/>
    </row>
    <row r="8404" spans="9:10" x14ac:dyDescent="0.25">
      <c r="I8404" s="199"/>
      <c r="J8404" s="199"/>
    </row>
    <row r="8405" spans="9:10" x14ac:dyDescent="0.25">
      <c r="I8405" s="199"/>
      <c r="J8405" s="199"/>
    </row>
    <row r="8406" spans="9:10" x14ac:dyDescent="0.25">
      <c r="I8406" s="199"/>
      <c r="J8406" s="199"/>
    </row>
    <row r="8407" spans="9:10" x14ac:dyDescent="0.25">
      <c r="I8407" s="199"/>
      <c r="J8407" s="199"/>
    </row>
    <row r="8408" spans="9:10" x14ac:dyDescent="0.25">
      <c r="I8408" s="199"/>
      <c r="J8408" s="199"/>
    </row>
    <row r="8409" spans="9:10" x14ac:dyDescent="0.25">
      <c r="I8409" s="199"/>
      <c r="J8409" s="199"/>
    </row>
    <row r="8410" spans="9:10" x14ac:dyDescent="0.25">
      <c r="I8410" s="199"/>
      <c r="J8410" s="199"/>
    </row>
    <row r="8411" spans="9:10" x14ac:dyDescent="0.25">
      <c r="I8411" s="199"/>
      <c r="J8411" s="199"/>
    </row>
    <row r="8412" spans="9:10" x14ac:dyDescent="0.25">
      <c r="I8412" s="199"/>
      <c r="J8412" s="199"/>
    </row>
    <row r="8413" spans="9:10" x14ac:dyDescent="0.25">
      <c r="I8413" s="199"/>
      <c r="J8413" s="199"/>
    </row>
    <row r="8414" spans="9:10" x14ac:dyDescent="0.25">
      <c r="I8414" s="199"/>
      <c r="J8414" s="199"/>
    </row>
    <row r="8415" spans="9:10" x14ac:dyDescent="0.25">
      <c r="I8415" s="199"/>
      <c r="J8415" s="199"/>
    </row>
    <row r="8416" spans="9:10" x14ac:dyDescent="0.25">
      <c r="I8416" s="199"/>
      <c r="J8416" s="199"/>
    </row>
    <row r="8417" spans="9:10" x14ac:dyDescent="0.25">
      <c r="I8417" s="199"/>
      <c r="J8417" s="199"/>
    </row>
    <row r="8418" spans="9:10" x14ac:dyDescent="0.25">
      <c r="I8418" s="199"/>
      <c r="J8418" s="199"/>
    </row>
    <row r="8419" spans="9:10" x14ac:dyDescent="0.25">
      <c r="I8419" s="199"/>
      <c r="J8419" s="199"/>
    </row>
    <row r="8420" spans="9:10" x14ac:dyDescent="0.25">
      <c r="I8420" s="199"/>
      <c r="J8420" s="199"/>
    </row>
    <row r="8421" spans="9:10" x14ac:dyDescent="0.25">
      <c r="I8421" s="199"/>
      <c r="J8421" s="199"/>
    </row>
    <row r="8422" spans="9:10" x14ac:dyDescent="0.25">
      <c r="I8422" s="199"/>
      <c r="J8422" s="199"/>
    </row>
    <row r="8423" spans="9:10" x14ac:dyDescent="0.25">
      <c r="I8423" s="199"/>
      <c r="J8423" s="199"/>
    </row>
    <row r="8424" spans="9:10" x14ac:dyDescent="0.25">
      <c r="I8424" s="199"/>
      <c r="J8424" s="199"/>
    </row>
    <row r="8425" spans="9:10" x14ac:dyDescent="0.25">
      <c r="I8425" s="199"/>
      <c r="J8425" s="199"/>
    </row>
    <row r="8426" spans="9:10" x14ac:dyDescent="0.25">
      <c r="I8426" s="199"/>
      <c r="J8426" s="199"/>
    </row>
    <row r="8427" spans="9:10" x14ac:dyDescent="0.25">
      <c r="I8427" s="199"/>
      <c r="J8427" s="199"/>
    </row>
    <row r="8428" spans="9:10" x14ac:dyDescent="0.25">
      <c r="I8428" s="199"/>
      <c r="J8428" s="199"/>
    </row>
    <row r="8429" spans="9:10" x14ac:dyDescent="0.25">
      <c r="I8429" s="199"/>
      <c r="J8429" s="199"/>
    </row>
    <row r="8430" spans="9:10" x14ac:dyDescent="0.25">
      <c r="I8430" s="199"/>
      <c r="J8430" s="199"/>
    </row>
    <row r="8431" spans="9:10" x14ac:dyDescent="0.25">
      <c r="I8431" s="199"/>
      <c r="J8431" s="199"/>
    </row>
    <row r="8432" spans="9:10" x14ac:dyDescent="0.25">
      <c r="I8432" s="199"/>
      <c r="J8432" s="199"/>
    </row>
    <row r="8433" spans="9:10" x14ac:dyDescent="0.25">
      <c r="I8433" s="199"/>
      <c r="J8433" s="199"/>
    </row>
    <row r="8434" spans="9:10" x14ac:dyDescent="0.25">
      <c r="I8434" s="199"/>
      <c r="J8434" s="199"/>
    </row>
    <row r="8435" spans="9:10" x14ac:dyDescent="0.25">
      <c r="I8435" s="199"/>
      <c r="J8435" s="199"/>
    </row>
    <row r="8436" spans="9:10" x14ac:dyDescent="0.25">
      <c r="I8436" s="199"/>
      <c r="J8436" s="199"/>
    </row>
    <row r="8437" spans="9:10" x14ac:dyDescent="0.25">
      <c r="I8437" s="199"/>
      <c r="J8437" s="199"/>
    </row>
    <row r="8438" spans="9:10" x14ac:dyDescent="0.25">
      <c r="I8438" s="199"/>
      <c r="J8438" s="199"/>
    </row>
    <row r="8439" spans="9:10" x14ac:dyDescent="0.25">
      <c r="I8439" s="199"/>
      <c r="J8439" s="199"/>
    </row>
    <row r="8440" spans="9:10" x14ac:dyDescent="0.25">
      <c r="I8440" s="199"/>
      <c r="J8440" s="199"/>
    </row>
    <row r="8441" spans="9:10" x14ac:dyDescent="0.25">
      <c r="I8441" s="199"/>
      <c r="J8441" s="199"/>
    </row>
    <row r="8442" spans="9:10" x14ac:dyDescent="0.25">
      <c r="I8442" s="199"/>
      <c r="J8442" s="199"/>
    </row>
    <row r="8443" spans="9:10" x14ac:dyDescent="0.25">
      <c r="I8443" s="199"/>
      <c r="J8443" s="199"/>
    </row>
    <row r="8444" spans="9:10" x14ac:dyDescent="0.25">
      <c r="I8444" s="199"/>
      <c r="J8444" s="199"/>
    </row>
    <row r="8445" spans="9:10" x14ac:dyDescent="0.25">
      <c r="I8445" s="199"/>
      <c r="J8445" s="199"/>
    </row>
    <row r="8446" spans="9:10" x14ac:dyDescent="0.25">
      <c r="I8446" s="199"/>
      <c r="J8446" s="199"/>
    </row>
    <row r="8447" spans="9:10" x14ac:dyDescent="0.25">
      <c r="I8447" s="199"/>
      <c r="J8447" s="199"/>
    </row>
    <row r="8448" spans="9:10" x14ac:dyDescent="0.25">
      <c r="I8448" s="199"/>
      <c r="J8448" s="199"/>
    </row>
    <row r="8449" spans="9:10" x14ac:dyDescent="0.25">
      <c r="I8449" s="199"/>
      <c r="J8449" s="199"/>
    </row>
    <row r="8450" spans="9:10" x14ac:dyDescent="0.25">
      <c r="I8450" s="199"/>
      <c r="J8450" s="199"/>
    </row>
    <row r="8451" spans="9:10" x14ac:dyDescent="0.25">
      <c r="I8451" s="199"/>
      <c r="J8451" s="199"/>
    </row>
    <row r="8452" spans="9:10" x14ac:dyDescent="0.25">
      <c r="I8452" s="199"/>
      <c r="J8452" s="199"/>
    </row>
    <row r="8453" spans="9:10" x14ac:dyDescent="0.25">
      <c r="I8453" s="199"/>
      <c r="J8453" s="199"/>
    </row>
    <row r="8454" spans="9:10" x14ac:dyDescent="0.25">
      <c r="I8454" s="199"/>
      <c r="J8454" s="199"/>
    </row>
    <row r="8455" spans="9:10" x14ac:dyDescent="0.25">
      <c r="I8455" s="199"/>
      <c r="J8455" s="199"/>
    </row>
    <row r="8456" spans="9:10" x14ac:dyDescent="0.25">
      <c r="I8456" s="199"/>
      <c r="J8456" s="199"/>
    </row>
    <row r="8457" spans="9:10" x14ac:dyDescent="0.25">
      <c r="I8457" s="199"/>
      <c r="J8457" s="199"/>
    </row>
    <row r="8458" spans="9:10" x14ac:dyDescent="0.25">
      <c r="I8458" s="199"/>
      <c r="J8458" s="199"/>
    </row>
    <row r="8459" spans="9:10" x14ac:dyDescent="0.25">
      <c r="I8459" s="199"/>
      <c r="J8459" s="199"/>
    </row>
    <row r="8460" spans="9:10" x14ac:dyDescent="0.25">
      <c r="I8460" s="199"/>
      <c r="J8460" s="199"/>
    </row>
    <row r="8461" spans="9:10" x14ac:dyDescent="0.25">
      <c r="I8461" s="199"/>
      <c r="J8461" s="199"/>
    </row>
    <row r="8462" spans="9:10" x14ac:dyDescent="0.25">
      <c r="I8462" s="199"/>
      <c r="J8462" s="199"/>
    </row>
    <row r="8463" spans="9:10" x14ac:dyDescent="0.25">
      <c r="I8463" s="199"/>
      <c r="J8463" s="199"/>
    </row>
    <row r="8464" spans="9:10" x14ac:dyDescent="0.25">
      <c r="I8464" s="199"/>
      <c r="J8464" s="199"/>
    </row>
    <row r="8465" spans="9:10" x14ac:dyDescent="0.25">
      <c r="I8465" s="199"/>
      <c r="J8465" s="199"/>
    </row>
    <row r="8466" spans="9:10" x14ac:dyDescent="0.25">
      <c r="I8466" s="199"/>
      <c r="J8466" s="199"/>
    </row>
    <row r="8467" spans="9:10" x14ac:dyDescent="0.25">
      <c r="I8467" s="199"/>
      <c r="J8467" s="199"/>
    </row>
    <row r="8468" spans="9:10" x14ac:dyDescent="0.25">
      <c r="I8468" s="199"/>
      <c r="J8468" s="199"/>
    </row>
    <row r="8469" spans="9:10" x14ac:dyDescent="0.25">
      <c r="I8469" s="199"/>
      <c r="J8469" s="199"/>
    </row>
    <row r="8470" spans="9:10" x14ac:dyDescent="0.25">
      <c r="I8470" s="199"/>
      <c r="J8470" s="199"/>
    </row>
    <row r="8471" spans="9:10" x14ac:dyDescent="0.25">
      <c r="I8471" s="199"/>
      <c r="J8471" s="199"/>
    </row>
    <row r="8472" spans="9:10" x14ac:dyDescent="0.25">
      <c r="I8472" s="199"/>
      <c r="J8472" s="199"/>
    </row>
    <row r="8473" spans="9:10" x14ac:dyDescent="0.25">
      <c r="I8473" s="199"/>
      <c r="J8473" s="199"/>
    </row>
    <row r="8474" spans="9:10" x14ac:dyDescent="0.25">
      <c r="I8474" s="199"/>
      <c r="J8474" s="199"/>
    </row>
    <row r="8475" spans="9:10" x14ac:dyDescent="0.25">
      <c r="I8475" s="199"/>
      <c r="J8475" s="199"/>
    </row>
    <row r="8476" spans="9:10" x14ac:dyDescent="0.25">
      <c r="I8476" s="199"/>
      <c r="J8476" s="199"/>
    </row>
    <row r="8477" spans="9:10" x14ac:dyDescent="0.25">
      <c r="I8477" s="199"/>
      <c r="J8477" s="199"/>
    </row>
    <row r="8478" spans="9:10" x14ac:dyDescent="0.25">
      <c r="I8478" s="199"/>
      <c r="J8478" s="199"/>
    </row>
    <row r="8479" spans="9:10" x14ac:dyDescent="0.25">
      <c r="I8479" s="199"/>
      <c r="J8479" s="199"/>
    </row>
    <row r="8480" spans="9:10" x14ac:dyDescent="0.25">
      <c r="I8480" s="199"/>
      <c r="J8480" s="199"/>
    </row>
    <row r="8481" spans="9:10" x14ac:dyDescent="0.25">
      <c r="I8481" s="199"/>
      <c r="J8481" s="199"/>
    </row>
    <row r="8482" spans="9:10" x14ac:dyDescent="0.25">
      <c r="I8482" s="199"/>
      <c r="J8482" s="199"/>
    </row>
    <row r="8483" spans="9:10" x14ac:dyDescent="0.25">
      <c r="I8483" s="199"/>
      <c r="J8483" s="199"/>
    </row>
    <row r="8484" spans="9:10" x14ac:dyDescent="0.25">
      <c r="I8484" s="199"/>
      <c r="J8484" s="199"/>
    </row>
    <row r="8485" spans="9:10" x14ac:dyDescent="0.25">
      <c r="I8485" s="199"/>
      <c r="J8485" s="199"/>
    </row>
    <row r="8486" spans="9:10" x14ac:dyDescent="0.25">
      <c r="I8486" s="199"/>
      <c r="J8486" s="199"/>
    </row>
    <row r="8487" spans="9:10" x14ac:dyDescent="0.25">
      <c r="I8487" s="199"/>
      <c r="J8487" s="199"/>
    </row>
    <row r="8488" spans="9:10" x14ac:dyDescent="0.25">
      <c r="I8488" s="199"/>
      <c r="J8488" s="199"/>
    </row>
    <row r="8489" spans="9:10" x14ac:dyDescent="0.25">
      <c r="I8489" s="199"/>
      <c r="J8489" s="199"/>
    </row>
    <row r="8490" spans="9:10" x14ac:dyDescent="0.25">
      <c r="I8490" s="199"/>
      <c r="J8490" s="199"/>
    </row>
    <row r="8491" spans="9:10" x14ac:dyDescent="0.25">
      <c r="I8491" s="199"/>
      <c r="J8491" s="199"/>
    </row>
    <row r="8492" spans="9:10" x14ac:dyDescent="0.25">
      <c r="I8492" s="199"/>
      <c r="J8492" s="199"/>
    </row>
    <row r="8493" spans="9:10" x14ac:dyDescent="0.25">
      <c r="I8493" s="199"/>
      <c r="J8493" s="199"/>
    </row>
    <row r="8494" spans="9:10" x14ac:dyDescent="0.25">
      <c r="I8494" s="199"/>
      <c r="J8494" s="199"/>
    </row>
    <row r="8495" spans="9:10" x14ac:dyDescent="0.25">
      <c r="I8495" s="199"/>
      <c r="J8495" s="199"/>
    </row>
    <row r="8496" spans="9:10" x14ac:dyDescent="0.25">
      <c r="I8496" s="199"/>
      <c r="J8496" s="199"/>
    </row>
    <row r="8497" spans="9:10" x14ac:dyDescent="0.25">
      <c r="I8497" s="199"/>
      <c r="J8497" s="199"/>
    </row>
    <row r="8498" spans="9:10" x14ac:dyDescent="0.25">
      <c r="I8498" s="199"/>
      <c r="J8498" s="199"/>
    </row>
    <row r="8499" spans="9:10" x14ac:dyDescent="0.25">
      <c r="I8499" s="199"/>
      <c r="J8499" s="199"/>
    </row>
    <row r="8500" spans="9:10" x14ac:dyDescent="0.25">
      <c r="I8500" s="199"/>
      <c r="J8500" s="199"/>
    </row>
    <row r="8501" spans="9:10" x14ac:dyDescent="0.25">
      <c r="I8501" s="199"/>
      <c r="J8501" s="199"/>
    </row>
    <row r="8502" spans="9:10" x14ac:dyDescent="0.25">
      <c r="I8502" s="199"/>
      <c r="J8502" s="199"/>
    </row>
    <row r="8503" spans="9:10" x14ac:dyDescent="0.25">
      <c r="I8503" s="199"/>
      <c r="J8503" s="199"/>
    </row>
    <row r="8504" spans="9:10" x14ac:dyDescent="0.25">
      <c r="I8504" s="199"/>
      <c r="J8504" s="199"/>
    </row>
    <row r="8505" spans="9:10" x14ac:dyDescent="0.25">
      <c r="I8505" s="199"/>
      <c r="J8505" s="199"/>
    </row>
    <row r="8506" spans="9:10" x14ac:dyDescent="0.25">
      <c r="I8506" s="199"/>
      <c r="J8506" s="199"/>
    </row>
    <row r="8507" spans="9:10" x14ac:dyDescent="0.25">
      <c r="I8507" s="199"/>
      <c r="J8507" s="199"/>
    </row>
    <row r="8508" spans="9:10" x14ac:dyDescent="0.25">
      <c r="I8508" s="199"/>
      <c r="J8508" s="199"/>
    </row>
    <row r="8509" spans="9:10" x14ac:dyDescent="0.25">
      <c r="I8509" s="199"/>
      <c r="J8509" s="199"/>
    </row>
    <row r="8510" spans="9:10" x14ac:dyDescent="0.25">
      <c r="I8510" s="199"/>
      <c r="J8510" s="199"/>
    </row>
    <row r="8511" spans="9:10" x14ac:dyDescent="0.25">
      <c r="I8511" s="199"/>
      <c r="J8511" s="199"/>
    </row>
    <row r="8512" spans="9:10" x14ac:dyDescent="0.25">
      <c r="I8512" s="199"/>
      <c r="J8512" s="199"/>
    </row>
    <row r="8513" spans="9:10" x14ac:dyDescent="0.25">
      <c r="I8513" s="199"/>
      <c r="J8513" s="199"/>
    </row>
    <row r="8514" spans="9:10" x14ac:dyDescent="0.25">
      <c r="I8514" s="199"/>
      <c r="J8514" s="199"/>
    </row>
    <row r="8515" spans="9:10" x14ac:dyDescent="0.25">
      <c r="I8515" s="199"/>
      <c r="J8515" s="199"/>
    </row>
    <row r="8516" spans="9:10" x14ac:dyDescent="0.25">
      <c r="I8516" s="199"/>
      <c r="J8516" s="199"/>
    </row>
    <row r="8517" spans="9:10" x14ac:dyDescent="0.25">
      <c r="I8517" s="199"/>
      <c r="J8517" s="199"/>
    </row>
    <row r="8518" spans="9:10" x14ac:dyDescent="0.25">
      <c r="I8518" s="199"/>
      <c r="J8518" s="199"/>
    </row>
    <row r="8519" spans="9:10" x14ac:dyDescent="0.25">
      <c r="I8519" s="199"/>
      <c r="J8519" s="199"/>
    </row>
    <row r="8520" spans="9:10" x14ac:dyDescent="0.25">
      <c r="I8520" s="199"/>
      <c r="J8520" s="199"/>
    </row>
    <row r="8521" spans="9:10" x14ac:dyDescent="0.25">
      <c r="I8521" s="199"/>
      <c r="J8521" s="199"/>
    </row>
    <row r="8522" spans="9:10" x14ac:dyDescent="0.25">
      <c r="I8522" s="199"/>
      <c r="J8522" s="199"/>
    </row>
    <row r="8523" spans="9:10" x14ac:dyDescent="0.25">
      <c r="I8523" s="199"/>
      <c r="J8523" s="199"/>
    </row>
    <row r="8524" spans="9:10" x14ac:dyDescent="0.25">
      <c r="I8524" s="199"/>
      <c r="J8524" s="199"/>
    </row>
    <row r="8525" spans="9:10" x14ac:dyDescent="0.25">
      <c r="I8525" s="199"/>
      <c r="J8525" s="199"/>
    </row>
    <row r="8526" spans="9:10" x14ac:dyDescent="0.25">
      <c r="I8526" s="199"/>
      <c r="J8526" s="199"/>
    </row>
    <row r="8527" spans="9:10" x14ac:dyDescent="0.25">
      <c r="I8527" s="199"/>
      <c r="J8527" s="199"/>
    </row>
    <row r="8528" spans="9:10" x14ac:dyDescent="0.25">
      <c r="I8528" s="199"/>
      <c r="J8528" s="199"/>
    </row>
    <row r="8529" spans="9:10" x14ac:dyDescent="0.25">
      <c r="I8529" s="199"/>
      <c r="J8529" s="199"/>
    </row>
    <row r="8530" spans="9:10" x14ac:dyDescent="0.25">
      <c r="I8530" s="199"/>
      <c r="J8530" s="199"/>
    </row>
    <row r="8531" spans="9:10" x14ac:dyDescent="0.25">
      <c r="I8531" s="199"/>
      <c r="J8531" s="199"/>
    </row>
    <row r="8532" spans="9:10" x14ac:dyDescent="0.25">
      <c r="I8532" s="199"/>
      <c r="J8532" s="199"/>
    </row>
    <row r="8533" spans="9:10" x14ac:dyDescent="0.25">
      <c r="I8533" s="199"/>
      <c r="J8533" s="199"/>
    </row>
    <row r="8534" spans="9:10" x14ac:dyDescent="0.25">
      <c r="I8534" s="199"/>
      <c r="J8534" s="199"/>
    </row>
    <row r="8535" spans="9:10" x14ac:dyDescent="0.25">
      <c r="I8535" s="199"/>
      <c r="J8535" s="199"/>
    </row>
    <row r="8536" spans="9:10" x14ac:dyDescent="0.25">
      <c r="I8536" s="199"/>
      <c r="J8536" s="199"/>
    </row>
    <row r="8537" spans="9:10" x14ac:dyDescent="0.25">
      <c r="I8537" s="199"/>
      <c r="J8537" s="199"/>
    </row>
    <row r="8538" spans="9:10" x14ac:dyDescent="0.25">
      <c r="I8538" s="199"/>
      <c r="J8538" s="199"/>
    </row>
    <row r="8539" spans="9:10" x14ac:dyDescent="0.25">
      <c r="I8539" s="199"/>
      <c r="J8539" s="199"/>
    </row>
    <row r="8540" spans="9:10" x14ac:dyDescent="0.25">
      <c r="I8540" s="199"/>
      <c r="J8540" s="199"/>
    </row>
    <row r="8541" spans="9:10" x14ac:dyDescent="0.25">
      <c r="I8541" s="199"/>
      <c r="J8541" s="199"/>
    </row>
    <row r="8542" spans="9:10" x14ac:dyDescent="0.25">
      <c r="I8542" s="199"/>
      <c r="J8542" s="199"/>
    </row>
    <row r="8543" spans="9:10" x14ac:dyDescent="0.25">
      <c r="I8543" s="199"/>
      <c r="J8543" s="199"/>
    </row>
    <row r="8544" spans="9:10" x14ac:dyDescent="0.25">
      <c r="I8544" s="199"/>
      <c r="J8544" s="199"/>
    </row>
    <row r="8545" spans="9:10" x14ac:dyDescent="0.25">
      <c r="I8545" s="199"/>
      <c r="J8545" s="199"/>
    </row>
    <row r="8546" spans="9:10" x14ac:dyDescent="0.25">
      <c r="I8546" s="199"/>
      <c r="J8546" s="199"/>
    </row>
    <row r="8547" spans="9:10" x14ac:dyDescent="0.25">
      <c r="I8547" s="199"/>
      <c r="J8547" s="199"/>
    </row>
    <row r="8548" spans="9:10" x14ac:dyDescent="0.25">
      <c r="I8548" s="199"/>
      <c r="J8548" s="199"/>
    </row>
    <row r="8549" spans="9:10" x14ac:dyDescent="0.25">
      <c r="I8549" s="199"/>
      <c r="J8549" s="199"/>
    </row>
    <row r="8550" spans="9:10" x14ac:dyDescent="0.25">
      <c r="I8550" s="199"/>
      <c r="J8550" s="199"/>
    </row>
    <row r="8551" spans="9:10" x14ac:dyDescent="0.25">
      <c r="I8551" s="199"/>
      <c r="J8551" s="199"/>
    </row>
    <row r="8552" spans="9:10" x14ac:dyDescent="0.25">
      <c r="I8552" s="199"/>
      <c r="J8552" s="199"/>
    </row>
    <row r="8553" spans="9:10" x14ac:dyDescent="0.25">
      <c r="I8553" s="199"/>
      <c r="J8553" s="199"/>
    </row>
    <row r="8554" spans="9:10" x14ac:dyDescent="0.25">
      <c r="I8554" s="199"/>
      <c r="J8554" s="199"/>
    </row>
    <row r="8555" spans="9:10" x14ac:dyDescent="0.25">
      <c r="I8555" s="199"/>
      <c r="J8555" s="199"/>
    </row>
    <row r="8556" spans="9:10" x14ac:dyDescent="0.25">
      <c r="I8556" s="199"/>
      <c r="J8556" s="199"/>
    </row>
    <row r="8557" spans="9:10" x14ac:dyDescent="0.25">
      <c r="I8557" s="199"/>
      <c r="J8557" s="199"/>
    </row>
    <row r="8558" spans="9:10" x14ac:dyDescent="0.25">
      <c r="I8558" s="199"/>
      <c r="J8558" s="199"/>
    </row>
    <row r="8559" spans="9:10" x14ac:dyDescent="0.25">
      <c r="I8559" s="199"/>
      <c r="J8559" s="199"/>
    </row>
    <row r="8560" spans="9:10" x14ac:dyDescent="0.25">
      <c r="I8560" s="199"/>
      <c r="J8560" s="199"/>
    </row>
    <row r="8561" spans="9:10" x14ac:dyDescent="0.25">
      <c r="I8561" s="199"/>
      <c r="J8561" s="199"/>
    </row>
    <row r="8562" spans="9:10" x14ac:dyDescent="0.25">
      <c r="I8562" s="199"/>
      <c r="J8562" s="199"/>
    </row>
    <row r="8563" spans="9:10" x14ac:dyDescent="0.25">
      <c r="I8563" s="199"/>
      <c r="J8563" s="199"/>
    </row>
    <row r="8564" spans="9:10" x14ac:dyDescent="0.25">
      <c r="I8564" s="199"/>
      <c r="J8564" s="199"/>
    </row>
    <row r="8565" spans="9:10" x14ac:dyDescent="0.25">
      <c r="I8565" s="199"/>
      <c r="J8565" s="199"/>
    </row>
    <row r="8566" spans="9:10" x14ac:dyDescent="0.25">
      <c r="I8566" s="199"/>
      <c r="J8566" s="199"/>
    </row>
    <row r="8567" spans="9:10" x14ac:dyDescent="0.25">
      <c r="I8567" s="199"/>
      <c r="J8567" s="199"/>
    </row>
    <row r="8568" spans="9:10" x14ac:dyDescent="0.25">
      <c r="I8568" s="199"/>
      <c r="J8568" s="199"/>
    </row>
    <row r="8569" spans="9:10" x14ac:dyDescent="0.25">
      <c r="I8569" s="199"/>
      <c r="J8569" s="199"/>
    </row>
    <row r="8570" spans="9:10" x14ac:dyDescent="0.25">
      <c r="I8570" s="199"/>
      <c r="J8570" s="199"/>
    </row>
    <row r="8571" spans="9:10" x14ac:dyDescent="0.25">
      <c r="I8571" s="199"/>
      <c r="J8571" s="199"/>
    </row>
    <row r="8572" spans="9:10" x14ac:dyDescent="0.25">
      <c r="I8572" s="199"/>
      <c r="J8572" s="199"/>
    </row>
    <row r="8573" spans="9:10" x14ac:dyDescent="0.25">
      <c r="I8573" s="199"/>
      <c r="J8573" s="199"/>
    </row>
    <row r="8574" spans="9:10" x14ac:dyDescent="0.25">
      <c r="I8574" s="199"/>
      <c r="J8574" s="199"/>
    </row>
    <row r="8575" spans="9:10" x14ac:dyDescent="0.25">
      <c r="I8575" s="199"/>
      <c r="J8575" s="199"/>
    </row>
    <row r="8576" spans="9:10" x14ac:dyDescent="0.25">
      <c r="I8576" s="199"/>
      <c r="J8576" s="199"/>
    </row>
    <row r="8577" spans="9:10" x14ac:dyDescent="0.25">
      <c r="I8577" s="199"/>
      <c r="J8577" s="199"/>
    </row>
    <row r="8578" spans="9:10" x14ac:dyDescent="0.25">
      <c r="I8578" s="199"/>
      <c r="J8578" s="199"/>
    </row>
    <row r="8579" spans="9:10" x14ac:dyDescent="0.25">
      <c r="I8579" s="199"/>
      <c r="J8579" s="199"/>
    </row>
    <row r="8580" spans="9:10" x14ac:dyDescent="0.25">
      <c r="I8580" s="199"/>
      <c r="J8580" s="199"/>
    </row>
    <row r="8581" spans="9:10" x14ac:dyDescent="0.25">
      <c r="I8581" s="199"/>
      <c r="J8581" s="199"/>
    </row>
    <row r="8582" spans="9:10" x14ac:dyDescent="0.25">
      <c r="I8582" s="199"/>
      <c r="J8582" s="199"/>
    </row>
    <row r="8583" spans="9:10" x14ac:dyDescent="0.25">
      <c r="I8583" s="199"/>
      <c r="J8583" s="199"/>
    </row>
    <row r="8584" spans="9:10" x14ac:dyDescent="0.25">
      <c r="I8584" s="199"/>
      <c r="J8584" s="199"/>
    </row>
    <row r="8585" spans="9:10" x14ac:dyDescent="0.25">
      <c r="I8585" s="199"/>
      <c r="J8585" s="199"/>
    </row>
    <row r="8586" spans="9:10" x14ac:dyDescent="0.25">
      <c r="I8586" s="199"/>
      <c r="J8586" s="199"/>
    </row>
    <row r="8587" spans="9:10" x14ac:dyDescent="0.25">
      <c r="I8587" s="199"/>
      <c r="J8587" s="199"/>
    </row>
    <row r="8588" spans="9:10" x14ac:dyDescent="0.25">
      <c r="I8588" s="199"/>
      <c r="J8588" s="199"/>
    </row>
    <row r="8589" spans="9:10" x14ac:dyDescent="0.25">
      <c r="I8589" s="199"/>
      <c r="J8589" s="199"/>
    </row>
    <row r="8590" spans="9:10" x14ac:dyDescent="0.25">
      <c r="I8590" s="199"/>
      <c r="J8590" s="199"/>
    </row>
    <row r="8591" spans="9:10" x14ac:dyDescent="0.25">
      <c r="I8591" s="199"/>
      <c r="J8591" s="199"/>
    </row>
    <row r="8592" spans="9:10" x14ac:dyDescent="0.25">
      <c r="I8592" s="199"/>
      <c r="J8592" s="199"/>
    </row>
    <row r="8593" spans="9:10" x14ac:dyDescent="0.25">
      <c r="I8593" s="199"/>
      <c r="J8593" s="199"/>
    </row>
    <row r="8594" spans="9:10" x14ac:dyDescent="0.25">
      <c r="I8594" s="199"/>
      <c r="J8594" s="199"/>
    </row>
    <row r="8595" spans="9:10" x14ac:dyDescent="0.25">
      <c r="I8595" s="199"/>
      <c r="J8595" s="199"/>
    </row>
    <row r="8596" spans="9:10" x14ac:dyDescent="0.25">
      <c r="I8596" s="199"/>
      <c r="J8596" s="199"/>
    </row>
    <row r="8597" spans="9:10" x14ac:dyDescent="0.25">
      <c r="I8597" s="199"/>
      <c r="J8597" s="199"/>
    </row>
    <row r="8598" spans="9:10" x14ac:dyDescent="0.25">
      <c r="I8598" s="199"/>
      <c r="J8598" s="199"/>
    </row>
    <row r="8599" spans="9:10" x14ac:dyDescent="0.25">
      <c r="I8599" s="199"/>
      <c r="J8599" s="199"/>
    </row>
    <row r="8600" spans="9:10" x14ac:dyDescent="0.25">
      <c r="I8600" s="199"/>
      <c r="J8600" s="199"/>
    </row>
    <row r="8601" spans="9:10" x14ac:dyDescent="0.25">
      <c r="I8601" s="199"/>
      <c r="J8601" s="199"/>
    </row>
    <row r="8602" spans="9:10" x14ac:dyDescent="0.25">
      <c r="I8602" s="199"/>
      <c r="J8602" s="199"/>
    </row>
    <row r="8603" spans="9:10" x14ac:dyDescent="0.25">
      <c r="I8603" s="199"/>
      <c r="J8603" s="199"/>
    </row>
    <row r="8604" spans="9:10" x14ac:dyDescent="0.25">
      <c r="I8604" s="199"/>
      <c r="J8604" s="199"/>
    </row>
    <row r="8605" spans="9:10" x14ac:dyDescent="0.25">
      <c r="I8605" s="199"/>
      <c r="J8605" s="199"/>
    </row>
    <row r="8606" spans="9:10" x14ac:dyDescent="0.25">
      <c r="I8606" s="199"/>
      <c r="J8606" s="199"/>
    </row>
    <row r="8607" spans="9:10" x14ac:dyDescent="0.25">
      <c r="I8607" s="199"/>
      <c r="J8607" s="199"/>
    </row>
    <row r="8608" spans="9:10" x14ac:dyDescent="0.25">
      <c r="I8608" s="199"/>
      <c r="J8608" s="199"/>
    </row>
    <row r="8609" spans="9:10" x14ac:dyDescent="0.25">
      <c r="I8609" s="199"/>
      <c r="J8609" s="199"/>
    </row>
    <row r="8610" spans="9:10" x14ac:dyDescent="0.25">
      <c r="I8610" s="199"/>
      <c r="J8610" s="199"/>
    </row>
    <row r="8611" spans="9:10" x14ac:dyDescent="0.25">
      <c r="I8611" s="199"/>
      <c r="J8611" s="199"/>
    </row>
    <row r="8612" spans="9:10" x14ac:dyDescent="0.25">
      <c r="I8612" s="199"/>
      <c r="J8612" s="199"/>
    </row>
    <row r="8613" spans="9:10" x14ac:dyDescent="0.25">
      <c r="I8613" s="199"/>
      <c r="J8613" s="199"/>
    </row>
    <row r="8614" spans="9:10" x14ac:dyDescent="0.25">
      <c r="I8614" s="199"/>
      <c r="J8614" s="199"/>
    </row>
    <row r="8615" spans="9:10" x14ac:dyDescent="0.25">
      <c r="I8615" s="199"/>
      <c r="J8615" s="199"/>
    </row>
    <row r="8616" spans="9:10" x14ac:dyDescent="0.25">
      <c r="I8616" s="199"/>
      <c r="J8616" s="199"/>
    </row>
    <row r="8617" spans="9:10" x14ac:dyDescent="0.25">
      <c r="I8617" s="199"/>
      <c r="J8617" s="199"/>
    </row>
    <row r="8618" spans="9:10" x14ac:dyDescent="0.25">
      <c r="I8618" s="199"/>
      <c r="J8618" s="199"/>
    </row>
    <row r="8619" spans="9:10" x14ac:dyDescent="0.25">
      <c r="I8619" s="199"/>
      <c r="J8619" s="199"/>
    </row>
    <row r="8620" spans="9:10" x14ac:dyDescent="0.25">
      <c r="I8620" s="199"/>
      <c r="J8620" s="199"/>
    </row>
    <row r="8621" spans="9:10" x14ac:dyDescent="0.25">
      <c r="I8621" s="199"/>
      <c r="J8621" s="199"/>
    </row>
    <row r="8622" spans="9:10" x14ac:dyDescent="0.25">
      <c r="I8622" s="199"/>
      <c r="J8622" s="199"/>
    </row>
    <row r="8623" spans="9:10" x14ac:dyDescent="0.25">
      <c r="I8623" s="199"/>
      <c r="J8623" s="199"/>
    </row>
    <row r="8624" spans="9:10" x14ac:dyDescent="0.25">
      <c r="I8624" s="199"/>
      <c r="J8624" s="199"/>
    </row>
    <row r="8625" spans="9:10" x14ac:dyDescent="0.25">
      <c r="I8625" s="199"/>
      <c r="J8625" s="199"/>
    </row>
    <row r="8626" spans="9:10" x14ac:dyDescent="0.25">
      <c r="I8626" s="199"/>
      <c r="J8626" s="199"/>
    </row>
    <row r="8627" spans="9:10" x14ac:dyDescent="0.25">
      <c r="I8627" s="199"/>
      <c r="J8627" s="199"/>
    </row>
    <row r="8628" spans="9:10" x14ac:dyDescent="0.25">
      <c r="I8628" s="199"/>
      <c r="J8628" s="199"/>
    </row>
    <row r="8629" spans="9:10" x14ac:dyDescent="0.25">
      <c r="I8629" s="199"/>
      <c r="J8629" s="199"/>
    </row>
    <row r="8630" spans="9:10" x14ac:dyDescent="0.25">
      <c r="I8630" s="199"/>
      <c r="J8630" s="199"/>
    </row>
    <row r="8631" spans="9:10" x14ac:dyDescent="0.25">
      <c r="I8631" s="199"/>
      <c r="J8631" s="199"/>
    </row>
    <row r="8632" spans="9:10" x14ac:dyDescent="0.25">
      <c r="I8632" s="199"/>
      <c r="J8632" s="199"/>
    </row>
    <row r="8633" spans="9:10" x14ac:dyDescent="0.25">
      <c r="I8633" s="199"/>
      <c r="J8633" s="199"/>
    </row>
    <row r="8634" spans="9:10" x14ac:dyDescent="0.25">
      <c r="I8634" s="199"/>
      <c r="J8634" s="199"/>
    </row>
    <row r="8635" spans="9:10" x14ac:dyDescent="0.25">
      <c r="I8635" s="199"/>
      <c r="J8635" s="199"/>
    </row>
    <row r="8636" spans="9:10" x14ac:dyDescent="0.25">
      <c r="I8636" s="199"/>
      <c r="J8636" s="199"/>
    </row>
    <row r="8637" spans="9:10" x14ac:dyDescent="0.25">
      <c r="I8637" s="199"/>
      <c r="J8637" s="199"/>
    </row>
    <row r="8638" spans="9:10" x14ac:dyDescent="0.25">
      <c r="I8638" s="199"/>
      <c r="J8638" s="199"/>
    </row>
    <row r="8639" spans="9:10" x14ac:dyDescent="0.25">
      <c r="I8639" s="199"/>
      <c r="J8639" s="199"/>
    </row>
    <row r="8640" spans="9:10" x14ac:dyDescent="0.25">
      <c r="I8640" s="199"/>
      <c r="J8640" s="199"/>
    </row>
    <row r="8641" spans="9:10" x14ac:dyDescent="0.25">
      <c r="I8641" s="199"/>
      <c r="J8641" s="199"/>
    </row>
    <row r="8642" spans="9:10" x14ac:dyDescent="0.25">
      <c r="I8642" s="199"/>
      <c r="J8642" s="199"/>
    </row>
    <row r="8643" spans="9:10" x14ac:dyDescent="0.25">
      <c r="I8643" s="199"/>
      <c r="J8643" s="199"/>
    </row>
    <row r="8644" spans="9:10" x14ac:dyDescent="0.25">
      <c r="I8644" s="199"/>
      <c r="J8644" s="199"/>
    </row>
    <row r="8645" spans="9:10" x14ac:dyDescent="0.25">
      <c r="I8645" s="199"/>
      <c r="J8645" s="199"/>
    </row>
    <row r="8646" spans="9:10" x14ac:dyDescent="0.25">
      <c r="I8646" s="199"/>
      <c r="J8646" s="199"/>
    </row>
    <row r="8647" spans="9:10" x14ac:dyDescent="0.25">
      <c r="I8647" s="199"/>
      <c r="J8647" s="199"/>
    </row>
    <row r="8648" spans="9:10" x14ac:dyDescent="0.25">
      <c r="I8648" s="199"/>
      <c r="J8648" s="199"/>
    </row>
    <row r="8649" spans="9:10" x14ac:dyDescent="0.25">
      <c r="I8649" s="199"/>
      <c r="J8649" s="199"/>
    </row>
    <row r="8650" spans="9:10" x14ac:dyDescent="0.25">
      <c r="I8650" s="199"/>
      <c r="J8650" s="199"/>
    </row>
    <row r="8651" spans="9:10" x14ac:dyDescent="0.25">
      <c r="I8651" s="199"/>
      <c r="J8651" s="199"/>
    </row>
    <row r="8652" spans="9:10" x14ac:dyDescent="0.25">
      <c r="I8652" s="199"/>
      <c r="J8652" s="199"/>
    </row>
    <row r="8653" spans="9:10" x14ac:dyDescent="0.25">
      <c r="I8653" s="199"/>
      <c r="J8653" s="199"/>
    </row>
    <row r="8654" spans="9:10" x14ac:dyDescent="0.25">
      <c r="I8654" s="199"/>
      <c r="J8654" s="199"/>
    </row>
    <row r="8655" spans="9:10" x14ac:dyDescent="0.25">
      <c r="I8655" s="199"/>
      <c r="J8655" s="199"/>
    </row>
    <row r="8656" spans="9:10" x14ac:dyDescent="0.25">
      <c r="I8656" s="199"/>
      <c r="J8656" s="199"/>
    </row>
    <row r="8657" spans="9:10" x14ac:dyDescent="0.25">
      <c r="I8657" s="199"/>
      <c r="J8657" s="199"/>
    </row>
    <row r="8658" spans="9:10" x14ac:dyDescent="0.25">
      <c r="I8658" s="199"/>
      <c r="J8658" s="199"/>
    </row>
    <row r="8659" spans="9:10" x14ac:dyDescent="0.25">
      <c r="I8659" s="199"/>
      <c r="J8659" s="199"/>
    </row>
    <row r="8660" spans="9:10" x14ac:dyDescent="0.25">
      <c r="I8660" s="199"/>
      <c r="J8660" s="199"/>
    </row>
    <row r="8661" spans="9:10" x14ac:dyDescent="0.25">
      <c r="I8661" s="199"/>
      <c r="J8661" s="199"/>
    </row>
    <row r="8662" spans="9:10" x14ac:dyDescent="0.25">
      <c r="I8662" s="199"/>
      <c r="J8662" s="199"/>
    </row>
    <row r="8663" spans="9:10" x14ac:dyDescent="0.25">
      <c r="I8663" s="199"/>
      <c r="J8663" s="199"/>
    </row>
    <row r="8664" spans="9:10" x14ac:dyDescent="0.25">
      <c r="I8664" s="199"/>
      <c r="J8664" s="199"/>
    </row>
    <row r="8665" spans="9:10" x14ac:dyDescent="0.25">
      <c r="I8665" s="199"/>
      <c r="J8665" s="199"/>
    </row>
    <row r="8666" spans="9:10" x14ac:dyDescent="0.25">
      <c r="I8666" s="199"/>
      <c r="J8666" s="199"/>
    </row>
    <row r="8667" spans="9:10" x14ac:dyDescent="0.25">
      <c r="I8667" s="199"/>
      <c r="J8667" s="199"/>
    </row>
    <row r="8668" spans="9:10" x14ac:dyDescent="0.25">
      <c r="I8668" s="199"/>
      <c r="J8668" s="199"/>
    </row>
    <row r="8669" spans="9:10" x14ac:dyDescent="0.25">
      <c r="I8669" s="199"/>
      <c r="J8669" s="199"/>
    </row>
    <row r="8670" spans="9:10" x14ac:dyDescent="0.25">
      <c r="I8670" s="199"/>
      <c r="J8670" s="199"/>
    </row>
    <row r="8671" spans="9:10" x14ac:dyDescent="0.25">
      <c r="I8671" s="199"/>
      <c r="J8671" s="199"/>
    </row>
    <row r="8672" spans="9:10" x14ac:dyDescent="0.25">
      <c r="I8672" s="199"/>
      <c r="J8672" s="199"/>
    </row>
    <row r="8673" spans="9:10" x14ac:dyDescent="0.25">
      <c r="I8673" s="199"/>
      <c r="J8673" s="199"/>
    </row>
    <row r="8674" spans="9:10" x14ac:dyDescent="0.25">
      <c r="I8674" s="199"/>
      <c r="J8674" s="199"/>
    </row>
    <row r="8675" spans="9:10" x14ac:dyDescent="0.25">
      <c r="I8675" s="199"/>
      <c r="J8675" s="199"/>
    </row>
    <row r="8676" spans="9:10" x14ac:dyDescent="0.25">
      <c r="I8676" s="199"/>
      <c r="J8676" s="199"/>
    </row>
    <row r="8677" spans="9:10" x14ac:dyDescent="0.25">
      <c r="I8677" s="199"/>
      <c r="J8677" s="199"/>
    </row>
    <row r="8678" spans="9:10" x14ac:dyDescent="0.25">
      <c r="I8678" s="199"/>
      <c r="J8678" s="199"/>
    </row>
    <row r="8679" spans="9:10" x14ac:dyDescent="0.25">
      <c r="I8679" s="199"/>
      <c r="J8679" s="199"/>
    </row>
    <row r="8680" spans="9:10" x14ac:dyDescent="0.25">
      <c r="I8680" s="199"/>
      <c r="J8680" s="199"/>
    </row>
    <row r="8681" spans="9:10" x14ac:dyDescent="0.25">
      <c r="I8681" s="199"/>
      <c r="J8681" s="199"/>
    </row>
    <row r="8682" spans="9:10" x14ac:dyDescent="0.25">
      <c r="I8682" s="199"/>
      <c r="J8682" s="199"/>
    </row>
    <row r="8683" spans="9:10" x14ac:dyDescent="0.25">
      <c r="I8683" s="199"/>
      <c r="J8683" s="199"/>
    </row>
    <row r="8684" spans="9:10" x14ac:dyDescent="0.25">
      <c r="I8684" s="199"/>
      <c r="J8684" s="199"/>
    </row>
    <row r="8685" spans="9:10" x14ac:dyDescent="0.25">
      <c r="I8685" s="199"/>
      <c r="J8685" s="199"/>
    </row>
    <row r="8686" spans="9:10" x14ac:dyDescent="0.25">
      <c r="I8686" s="199"/>
      <c r="J8686" s="199"/>
    </row>
    <row r="8687" spans="9:10" x14ac:dyDescent="0.25">
      <c r="I8687" s="199"/>
      <c r="J8687" s="199"/>
    </row>
    <row r="8688" spans="9:10" x14ac:dyDescent="0.25">
      <c r="I8688" s="199"/>
      <c r="J8688" s="199"/>
    </row>
    <row r="8689" spans="9:10" x14ac:dyDescent="0.25">
      <c r="I8689" s="199"/>
      <c r="J8689" s="199"/>
    </row>
    <row r="8690" spans="9:10" x14ac:dyDescent="0.25">
      <c r="I8690" s="199"/>
      <c r="J8690" s="199"/>
    </row>
    <row r="8691" spans="9:10" x14ac:dyDescent="0.25">
      <c r="I8691" s="199"/>
      <c r="J8691" s="199"/>
    </row>
    <row r="8692" spans="9:10" x14ac:dyDescent="0.25">
      <c r="I8692" s="199"/>
      <c r="J8692" s="199"/>
    </row>
    <row r="8693" spans="9:10" x14ac:dyDescent="0.25">
      <c r="I8693" s="199"/>
      <c r="J8693" s="199"/>
    </row>
    <row r="8694" spans="9:10" x14ac:dyDescent="0.25">
      <c r="I8694" s="199"/>
      <c r="J8694" s="199"/>
    </row>
    <row r="8695" spans="9:10" x14ac:dyDescent="0.25">
      <c r="I8695" s="199"/>
      <c r="J8695" s="199"/>
    </row>
    <row r="8696" spans="9:10" x14ac:dyDescent="0.25">
      <c r="I8696" s="199"/>
      <c r="J8696" s="199"/>
    </row>
    <row r="8697" spans="9:10" x14ac:dyDescent="0.25">
      <c r="I8697" s="199"/>
      <c r="J8697" s="199"/>
    </row>
    <row r="8698" spans="9:10" x14ac:dyDescent="0.25">
      <c r="I8698" s="199"/>
      <c r="J8698" s="199"/>
    </row>
    <row r="8699" spans="9:10" x14ac:dyDescent="0.25">
      <c r="I8699" s="199"/>
      <c r="J8699" s="199"/>
    </row>
    <row r="8700" spans="9:10" x14ac:dyDescent="0.25">
      <c r="I8700" s="199"/>
      <c r="J8700" s="199"/>
    </row>
    <row r="8701" spans="9:10" x14ac:dyDescent="0.25">
      <c r="I8701" s="199"/>
      <c r="J8701" s="199"/>
    </row>
    <row r="8702" spans="9:10" x14ac:dyDescent="0.25">
      <c r="I8702" s="199"/>
      <c r="J8702" s="199"/>
    </row>
    <row r="8703" spans="9:10" x14ac:dyDescent="0.25">
      <c r="I8703" s="199"/>
      <c r="J8703" s="199"/>
    </row>
    <row r="8704" spans="9:10" x14ac:dyDescent="0.25">
      <c r="I8704" s="199"/>
      <c r="J8704" s="199"/>
    </row>
    <row r="8705" spans="9:10" x14ac:dyDescent="0.25">
      <c r="I8705" s="199"/>
      <c r="J8705" s="199"/>
    </row>
    <row r="8706" spans="9:10" x14ac:dyDescent="0.25">
      <c r="I8706" s="199"/>
      <c r="J8706" s="199"/>
    </row>
    <row r="8707" spans="9:10" x14ac:dyDescent="0.25">
      <c r="I8707" s="199"/>
      <c r="J8707" s="199"/>
    </row>
    <row r="8708" spans="9:10" x14ac:dyDescent="0.25">
      <c r="I8708" s="199"/>
      <c r="J8708" s="199"/>
    </row>
    <row r="8709" spans="9:10" x14ac:dyDescent="0.25">
      <c r="I8709" s="199"/>
      <c r="J8709" s="199"/>
    </row>
    <row r="8710" spans="9:10" x14ac:dyDescent="0.25">
      <c r="I8710" s="199"/>
      <c r="J8710" s="199"/>
    </row>
    <row r="8711" spans="9:10" x14ac:dyDescent="0.25">
      <c r="I8711" s="199"/>
      <c r="J8711" s="199"/>
    </row>
    <row r="8712" spans="9:10" x14ac:dyDescent="0.25">
      <c r="I8712" s="199"/>
      <c r="J8712" s="199"/>
    </row>
    <row r="8713" spans="9:10" x14ac:dyDescent="0.25">
      <c r="I8713" s="199"/>
      <c r="J8713" s="199"/>
    </row>
    <row r="8714" spans="9:10" x14ac:dyDescent="0.25">
      <c r="I8714" s="199"/>
      <c r="J8714" s="199"/>
    </row>
    <row r="8715" spans="9:10" x14ac:dyDescent="0.25">
      <c r="I8715" s="199"/>
      <c r="J8715" s="199"/>
    </row>
    <row r="8716" spans="9:10" x14ac:dyDescent="0.25">
      <c r="I8716" s="199"/>
      <c r="J8716" s="199"/>
    </row>
    <row r="8717" spans="9:10" x14ac:dyDescent="0.25">
      <c r="I8717" s="199"/>
      <c r="J8717" s="199"/>
    </row>
    <row r="8718" spans="9:10" x14ac:dyDescent="0.25">
      <c r="I8718" s="199"/>
      <c r="J8718" s="199"/>
    </row>
    <row r="8719" spans="9:10" x14ac:dyDescent="0.25">
      <c r="I8719" s="199"/>
      <c r="J8719" s="199"/>
    </row>
    <row r="8720" spans="9:10" x14ac:dyDescent="0.25">
      <c r="I8720" s="199"/>
      <c r="J8720" s="199"/>
    </row>
    <row r="8721" spans="9:10" x14ac:dyDescent="0.25">
      <c r="I8721" s="199"/>
      <c r="J8721" s="199"/>
    </row>
    <row r="8722" spans="9:10" x14ac:dyDescent="0.25">
      <c r="I8722" s="199"/>
      <c r="J8722" s="199"/>
    </row>
    <row r="8723" spans="9:10" x14ac:dyDescent="0.25">
      <c r="I8723" s="199"/>
      <c r="J8723" s="199"/>
    </row>
    <row r="8724" spans="9:10" x14ac:dyDescent="0.25">
      <c r="I8724" s="199"/>
      <c r="J8724" s="199"/>
    </row>
    <row r="8725" spans="9:10" x14ac:dyDescent="0.25">
      <c r="I8725" s="199"/>
      <c r="J8725" s="199"/>
    </row>
    <row r="8726" spans="9:10" x14ac:dyDescent="0.25">
      <c r="I8726" s="199"/>
      <c r="J8726" s="199"/>
    </row>
    <row r="8727" spans="9:10" x14ac:dyDescent="0.25">
      <c r="I8727" s="199"/>
      <c r="J8727" s="199"/>
    </row>
    <row r="8728" spans="9:10" x14ac:dyDescent="0.25">
      <c r="I8728" s="199"/>
      <c r="J8728" s="199"/>
    </row>
    <row r="8729" spans="9:10" x14ac:dyDescent="0.25">
      <c r="I8729" s="199"/>
      <c r="J8729" s="199"/>
    </row>
    <row r="8730" spans="9:10" x14ac:dyDescent="0.25">
      <c r="I8730" s="199"/>
      <c r="J8730" s="199"/>
    </row>
    <row r="8731" spans="9:10" x14ac:dyDescent="0.25">
      <c r="I8731" s="199"/>
      <c r="J8731" s="199"/>
    </row>
    <row r="8732" spans="9:10" x14ac:dyDescent="0.25">
      <c r="I8732" s="199"/>
      <c r="J8732" s="199"/>
    </row>
    <row r="8733" spans="9:10" x14ac:dyDescent="0.25">
      <c r="I8733" s="199"/>
      <c r="J8733" s="199"/>
    </row>
    <row r="8734" spans="9:10" x14ac:dyDescent="0.25">
      <c r="I8734" s="199"/>
      <c r="J8734" s="199"/>
    </row>
    <row r="8735" spans="9:10" x14ac:dyDescent="0.25">
      <c r="I8735" s="199"/>
      <c r="J8735" s="199"/>
    </row>
    <row r="8736" spans="9:10" x14ac:dyDescent="0.25">
      <c r="I8736" s="199"/>
      <c r="J8736" s="199"/>
    </row>
    <row r="8737" spans="9:10" x14ac:dyDescent="0.25">
      <c r="I8737" s="199"/>
      <c r="J8737" s="199"/>
    </row>
    <row r="8738" spans="9:10" x14ac:dyDescent="0.25">
      <c r="I8738" s="199"/>
      <c r="J8738" s="199"/>
    </row>
    <row r="8739" spans="9:10" x14ac:dyDescent="0.25">
      <c r="I8739" s="199"/>
      <c r="J8739" s="199"/>
    </row>
    <row r="8740" spans="9:10" x14ac:dyDescent="0.25">
      <c r="I8740" s="199"/>
      <c r="J8740" s="199"/>
    </row>
    <row r="8741" spans="9:10" x14ac:dyDescent="0.25">
      <c r="I8741" s="199"/>
      <c r="J8741" s="199"/>
    </row>
    <row r="8742" spans="9:10" x14ac:dyDescent="0.25">
      <c r="I8742" s="199"/>
      <c r="J8742" s="199"/>
    </row>
    <row r="8743" spans="9:10" x14ac:dyDescent="0.25">
      <c r="I8743" s="199"/>
      <c r="J8743" s="199"/>
    </row>
    <row r="8744" spans="9:10" x14ac:dyDescent="0.25">
      <c r="I8744" s="199"/>
      <c r="J8744" s="199"/>
    </row>
    <row r="8745" spans="9:10" x14ac:dyDescent="0.25">
      <c r="I8745" s="199"/>
      <c r="J8745" s="199"/>
    </row>
    <row r="8746" spans="9:10" x14ac:dyDescent="0.25">
      <c r="I8746" s="199"/>
      <c r="J8746" s="199"/>
    </row>
    <row r="8747" spans="9:10" x14ac:dyDescent="0.25">
      <c r="I8747" s="199"/>
      <c r="J8747" s="199"/>
    </row>
    <row r="8748" spans="9:10" x14ac:dyDescent="0.25">
      <c r="I8748" s="199"/>
      <c r="J8748" s="199"/>
    </row>
    <row r="8749" spans="9:10" x14ac:dyDescent="0.25">
      <c r="I8749" s="199"/>
      <c r="J8749" s="199"/>
    </row>
    <row r="8750" spans="9:10" x14ac:dyDescent="0.25">
      <c r="I8750" s="199"/>
      <c r="J8750" s="199"/>
    </row>
    <row r="8751" spans="9:10" x14ac:dyDescent="0.25">
      <c r="I8751" s="199"/>
      <c r="J8751" s="199"/>
    </row>
    <row r="8752" spans="9:10" x14ac:dyDescent="0.25">
      <c r="I8752" s="199"/>
      <c r="J8752" s="199"/>
    </row>
    <row r="8753" spans="9:10" x14ac:dyDescent="0.25">
      <c r="I8753" s="199"/>
      <c r="J8753" s="199"/>
    </row>
    <row r="8754" spans="9:10" x14ac:dyDescent="0.25">
      <c r="I8754" s="199"/>
      <c r="J8754" s="199"/>
    </row>
    <row r="8755" spans="9:10" x14ac:dyDescent="0.25">
      <c r="I8755" s="199"/>
      <c r="J8755" s="199"/>
    </row>
    <row r="8756" spans="9:10" x14ac:dyDescent="0.25">
      <c r="I8756" s="199"/>
      <c r="J8756" s="199"/>
    </row>
    <row r="8757" spans="9:10" x14ac:dyDescent="0.25">
      <c r="I8757" s="199"/>
      <c r="J8757" s="199"/>
    </row>
    <row r="8758" spans="9:10" x14ac:dyDescent="0.25">
      <c r="I8758" s="199"/>
      <c r="J8758" s="199"/>
    </row>
    <row r="8759" spans="9:10" x14ac:dyDescent="0.25">
      <c r="I8759" s="199"/>
      <c r="J8759" s="199"/>
    </row>
    <row r="8760" spans="9:10" x14ac:dyDescent="0.25">
      <c r="I8760" s="199"/>
      <c r="J8760" s="199"/>
    </row>
    <row r="8761" spans="9:10" x14ac:dyDescent="0.25">
      <c r="I8761" s="199"/>
      <c r="J8761" s="199"/>
    </row>
    <row r="8762" spans="9:10" x14ac:dyDescent="0.25">
      <c r="I8762" s="199"/>
      <c r="J8762" s="199"/>
    </row>
    <row r="8763" spans="9:10" x14ac:dyDescent="0.25">
      <c r="I8763" s="199"/>
      <c r="J8763" s="199"/>
    </row>
    <row r="8764" spans="9:10" x14ac:dyDescent="0.25">
      <c r="I8764" s="199"/>
      <c r="J8764" s="199"/>
    </row>
    <row r="8765" spans="9:10" x14ac:dyDescent="0.25">
      <c r="I8765" s="199"/>
      <c r="J8765" s="199"/>
    </row>
    <row r="8766" spans="9:10" x14ac:dyDescent="0.25">
      <c r="I8766" s="199"/>
      <c r="J8766" s="199"/>
    </row>
    <row r="8767" spans="9:10" x14ac:dyDescent="0.25">
      <c r="I8767" s="199"/>
      <c r="J8767" s="199"/>
    </row>
    <row r="8768" spans="9:10" x14ac:dyDescent="0.25">
      <c r="I8768" s="199"/>
      <c r="J8768" s="199"/>
    </row>
    <row r="8769" spans="9:10" x14ac:dyDescent="0.25">
      <c r="I8769" s="199"/>
      <c r="J8769" s="199"/>
    </row>
    <row r="8770" spans="9:10" x14ac:dyDescent="0.25">
      <c r="I8770" s="199"/>
      <c r="J8770" s="199"/>
    </row>
    <row r="8771" spans="9:10" x14ac:dyDescent="0.25">
      <c r="I8771" s="199"/>
      <c r="J8771" s="199"/>
    </row>
    <row r="8772" spans="9:10" x14ac:dyDescent="0.25">
      <c r="I8772" s="199"/>
      <c r="J8772" s="199"/>
    </row>
    <row r="8773" spans="9:10" x14ac:dyDescent="0.25">
      <c r="I8773" s="199"/>
      <c r="J8773" s="199"/>
    </row>
    <row r="8774" spans="9:10" x14ac:dyDescent="0.25">
      <c r="I8774" s="199"/>
      <c r="J8774" s="199"/>
    </row>
    <row r="8775" spans="9:10" x14ac:dyDescent="0.25">
      <c r="I8775" s="199"/>
      <c r="J8775" s="199"/>
    </row>
    <row r="8776" spans="9:10" x14ac:dyDescent="0.25">
      <c r="I8776" s="199"/>
      <c r="J8776" s="199"/>
    </row>
    <row r="8777" spans="9:10" x14ac:dyDescent="0.25">
      <c r="I8777" s="199"/>
      <c r="J8777" s="199"/>
    </row>
    <row r="8778" spans="9:10" x14ac:dyDescent="0.25">
      <c r="I8778" s="199"/>
      <c r="J8778" s="199"/>
    </row>
    <row r="8779" spans="9:10" x14ac:dyDescent="0.25">
      <c r="I8779" s="199"/>
      <c r="J8779" s="199"/>
    </row>
    <row r="8780" spans="9:10" x14ac:dyDescent="0.25">
      <c r="I8780" s="199"/>
      <c r="J8780" s="199"/>
    </row>
    <row r="8781" spans="9:10" x14ac:dyDescent="0.25">
      <c r="I8781" s="199"/>
      <c r="J8781" s="199"/>
    </row>
    <row r="8782" spans="9:10" x14ac:dyDescent="0.25">
      <c r="I8782" s="199"/>
      <c r="J8782" s="199"/>
    </row>
    <row r="8783" spans="9:10" x14ac:dyDescent="0.25">
      <c r="I8783" s="199"/>
      <c r="J8783" s="199"/>
    </row>
    <row r="8784" spans="9:10" x14ac:dyDescent="0.25">
      <c r="I8784" s="199"/>
      <c r="J8784" s="199"/>
    </row>
    <row r="8785" spans="9:10" x14ac:dyDescent="0.25">
      <c r="I8785" s="199"/>
      <c r="J8785" s="199"/>
    </row>
    <row r="8786" spans="9:10" x14ac:dyDescent="0.25">
      <c r="I8786" s="199"/>
      <c r="J8786" s="199"/>
    </row>
    <row r="8787" spans="9:10" x14ac:dyDescent="0.25">
      <c r="I8787" s="199"/>
      <c r="J8787" s="199"/>
    </row>
    <row r="8788" spans="9:10" x14ac:dyDescent="0.25">
      <c r="I8788" s="199"/>
      <c r="J8788" s="199"/>
    </row>
    <row r="8789" spans="9:10" x14ac:dyDescent="0.25">
      <c r="I8789" s="199"/>
      <c r="J8789" s="199"/>
    </row>
    <row r="8790" spans="9:10" x14ac:dyDescent="0.25">
      <c r="I8790" s="199"/>
      <c r="J8790" s="199"/>
    </row>
    <row r="8791" spans="9:10" x14ac:dyDescent="0.25">
      <c r="I8791" s="199"/>
      <c r="J8791" s="199"/>
    </row>
    <row r="8792" spans="9:10" x14ac:dyDescent="0.25">
      <c r="I8792" s="199"/>
      <c r="J8792" s="199"/>
    </row>
    <row r="8793" spans="9:10" x14ac:dyDescent="0.25">
      <c r="I8793" s="199"/>
      <c r="J8793" s="199"/>
    </row>
    <row r="8794" spans="9:10" x14ac:dyDescent="0.25">
      <c r="I8794" s="199"/>
      <c r="J8794" s="199"/>
    </row>
    <row r="8795" spans="9:10" x14ac:dyDescent="0.25">
      <c r="I8795" s="199"/>
      <c r="J8795" s="199"/>
    </row>
    <row r="8796" spans="9:10" x14ac:dyDescent="0.25">
      <c r="I8796" s="199"/>
      <c r="J8796" s="199"/>
    </row>
    <row r="8797" spans="9:10" x14ac:dyDescent="0.25">
      <c r="I8797" s="199"/>
      <c r="J8797" s="199"/>
    </row>
    <row r="8798" spans="9:10" x14ac:dyDescent="0.25">
      <c r="I8798" s="199"/>
      <c r="J8798" s="199"/>
    </row>
    <row r="8799" spans="9:10" x14ac:dyDescent="0.25">
      <c r="I8799" s="199"/>
      <c r="J8799" s="199"/>
    </row>
    <row r="8800" spans="9:10" x14ac:dyDescent="0.25">
      <c r="I8800" s="199"/>
      <c r="J8800" s="199"/>
    </row>
    <row r="8801" spans="9:10" x14ac:dyDescent="0.25">
      <c r="I8801" s="199"/>
      <c r="J8801" s="199"/>
    </row>
    <row r="8802" spans="9:10" x14ac:dyDescent="0.25">
      <c r="I8802" s="199"/>
      <c r="J8802" s="199"/>
    </row>
    <row r="8803" spans="9:10" x14ac:dyDescent="0.25">
      <c r="I8803" s="199"/>
      <c r="J8803" s="199"/>
    </row>
    <row r="8804" spans="9:10" x14ac:dyDescent="0.25">
      <c r="I8804" s="199"/>
      <c r="J8804" s="199"/>
    </row>
    <row r="8805" spans="9:10" x14ac:dyDescent="0.25">
      <c r="I8805" s="199"/>
      <c r="J8805" s="199"/>
    </row>
    <row r="8806" spans="9:10" x14ac:dyDescent="0.25">
      <c r="I8806" s="199"/>
      <c r="J8806" s="199"/>
    </row>
    <row r="8807" spans="9:10" x14ac:dyDescent="0.25">
      <c r="I8807" s="199"/>
      <c r="J8807" s="199"/>
    </row>
    <row r="8808" spans="9:10" x14ac:dyDescent="0.25">
      <c r="I8808" s="199"/>
      <c r="J8808" s="199"/>
    </row>
    <row r="8809" spans="9:10" x14ac:dyDescent="0.25">
      <c r="I8809" s="199"/>
      <c r="J8809" s="199"/>
    </row>
    <row r="8810" spans="9:10" x14ac:dyDescent="0.25">
      <c r="I8810" s="199"/>
      <c r="J8810" s="199"/>
    </row>
    <row r="8811" spans="9:10" x14ac:dyDescent="0.25">
      <c r="I8811" s="199"/>
      <c r="J8811" s="199"/>
    </row>
    <row r="8812" spans="9:10" x14ac:dyDescent="0.25">
      <c r="I8812" s="199"/>
      <c r="J8812" s="199"/>
    </row>
    <row r="8813" spans="9:10" x14ac:dyDescent="0.25">
      <c r="I8813" s="199"/>
      <c r="J8813" s="199"/>
    </row>
    <row r="8814" spans="9:10" x14ac:dyDescent="0.25">
      <c r="I8814" s="199"/>
      <c r="J8814" s="199"/>
    </row>
    <row r="8815" spans="9:10" x14ac:dyDescent="0.25">
      <c r="I8815" s="199"/>
      <c r="J8815" s="199"/>
    </row>
    <row r="8816" spans="9:10" x14ac:dyDescent="0.25">
      <c r="I8816" s="199"/>
      <c r="J8816" s="199"/>
    </row>
    <row r="8817" spans="9:10" x14ac:dyDescent="0.25">
      <c r="I8817" s="199"/>
      <c r="J8817" s="199"/>
    </row>
    <row r="8818" spans="9:10" x14ac:dyDescent="0.25">
      <c r="I8818" s="199"/>
      <c r="J8818" s="199"/>
    </row>
    <row r="8819" spans="9:10" x14ac:dyDescent="0.25">
      <c r="I8819" s="199"/>
      <c r="J8819" s="199"/>
    </row>
    <row r="8820" spans="9:10" x14ac:dyDescent="0.25">
      <c r="I8820" s="199"/>
      <c r="J8820" s="199"/>
    </row>
    <row r="8821" spans="9:10" x14ac:dyDescent="0.25">
      <c r="I8821" s="199"/>
      <c r="J8821" s="199"/>
    </row>
    <row r="8822" spans="9:10" x14ac:dyDescent="0.25">
      <c r="I8822" s="199"/>
      <c r="J8822" s="199"/>
    </row>
    <row r="8823" spans="9:10" x14ac:dyDescent="0.25">
      <c r="I8823" s="199"/>
      <c r="J8823" s="199"/>
    </row>
    <row r="8824" spans="9:10" x14ac:dyDescent="0.25">
      <c r="I8824" s="199"/>
      <c r="J8824" s="199"/>
    </row>
    <row r="8825" spans="9:10" x14ac:dyDescent="0.25">
      <c r="I8825" s="199"/>
      <c r="J8825" s="199"/>
    </row>
    <row r="8826" spans="9:10" x14ac:dyDescent="0.25">
      <c r="I8826" s="199"/>
      <c r="J8826" s="199"/>
    </row>
    <row r="8827" spans="9:10" x14ac:dyDescent="0.25">
      <c r="I8827" s="199"/>
      <c r="J8827" s="199"/>
    </row>
    <row r="8828" spans="9:10" x14ac:dyDescent="0.25">
      <c r="I8828" s="199"/>
      <c r="J8828" s="199"/>
    </row>
    <row r="8829" spans="9:10" x14ac:dyDescent="0.25">
      <c r="I8829" s="199"/>
      <c r="J8829" s="199"/>
    </row>
    <row r="8830" spans="9:10" x14ac:dyDescent="0.25">
      <c r="I8830" s="199"/>
      <c r="J8830" s="199"/>
    </row>
    <row r="8831" spans="9:10" x14ac:dyDescent="0.25">
      <c r="I8831" s="199"/>
      <c r="J8831" s="199"/>
    </row>
    <row r="8832" spans="9:10" x14ac:dyDescent="0.25">
      <c r="I8832" s="199"/>
      <c r="J8832" s="199"/>
    </row>
    <row r="8833" spans="9:10" x14ac:dyDescent="0.25">
      <c r="I8833" s="199"/>
      <c r="J8833" s="199"/>
    </row>
    <row r="8834" spans="9:10" x14ac:dyDescent="0.25">
      <c r="I8834" s="199"/>
      <c r="J8834" s="199"/>
    </row>
    <row r="8835" spans="9:10" x14ac:dyDescent="0.25">
      <c r="I8835" s="199"/>
      <c r="J8835" s="199"/>
    </row>
    <row r="8836" spans="9:10" x14ac:dyDescent="0.25">
      <c r="I8836" s="199"/>
      <c r="J8836" s="199"/>
    </row>
    <row r="8837" spans="9:10" x14ac:dyDescent="0.25">
      <c r="I8837" s="199"/>
      <c r="J8837" s="199"/>
    </row>
    <row r="8838" spans="9:10" x14ac:dyDescent="0.25">
      <c r="I8838" s="199"/>
      <c r="J8838" s="199"/>
    </row>
    <row r="8839" spans="9:10" x14ac:dyDescent="0.25">
      <c r="I8839" s="199"/>
      <c r="J8839" s="199"/>
    </row>
    <row r="8840" spans="9:10" x14ac:dyDescent="0.25">
      <c r="I8840" s="199"/>
      <c r="J8840" s="199"/>
    </row>
    <row r="8841" spans="9:10" x14ac:dyDescent="0.25">
      <c r="I8841" s="199"/>
      <c r="J8841" s="199"/>
    </row>
    <row r="8842" spans="9:10" x14ac:dyDescent="0.25">
      <c r="I8842" s="199"/>
      <c r="J8842" s="199"/>
    </row>
    <row r="8843" spans="9:10" x14ac:dyDescent="0.25">
      <c r="I8843" s="199"/>
      <c r="J8843" s="199"/>
    </row>
    <row r="8844" spans="9:10" x14ac:dyDescent="0.25">
      <c r="I8844" s="199"/>
      <c r="J8844" s="199"/>
    </row>
    <row r="8845" spans="9:10" x14ac:dyDescent="0.25">
      <c r="I8845" s="199"/>
      <c r="J8845" s="199"/>
    </row>
    <row r="8846" spans="9:10" x14ac:dyDescent="0.25">
      <c r="I8846" s="199"/>
      <c r="J8846" s="199"/>
    </row>
    <row r="8847" spans="9:10" x14ac:dyDescent="0.25">
      <c r="I8847" s="199"/>
      <c r="J8847" s="199"/>
    </row>
    <row r="8848" spans="9:10" x14ac:dyDescent="0.25">
      <c r="I8848" s="199"/>
      <c r="J8848" s="199"/>
    </row>
    <row r="8849" spans="9:10" x14ac:dyDescent="0.25">
      <c r="I8849" s="199"/>
      <c r="J8849" s="199"/>
    </row>
    <row r="8850" spans="9:10" x14ac:dyDescent="0.25">
      <c r="I8850" s="199"/>
      <c r="J8850" s="199"/>
    </row>
    <row r="8851" spans="9:10" x14ac:dyDescent="0.25">
      <c r="I8851" s="199"/>
      <c r="J8851" s="199"/>
    </row>
    <row r="8852" spans="9:10" x14ac:dyDescent="0.25">
      <c r="I8852" s="199"/>
      <c r="J8852" s="199"/>
    </row>
    <row r="8853" spans="9:10" x14ac:dyDescent="0.25">
      <c r="I8853" s="199"/>
      <c r="J8853" s="199"/>
    </row>
    <row r="8854" spans="9:10" x14ac:dyDescent="0.25">
      <c r="I8854" s="199"/>
      <c r="J8854" s="199"/>
    </row>
    <row r="8855" spans="9:10" x14ac:dyDescent="0.25">
      <c r="I8855" s="199"/>
      <c r="J8855" s="199"/>
    </row>
    <row r="8856" spans="9:10" x14ac:dyDescent="0.25">
      <c r="I8856" s="199"/>
      <c r="J8856" s="199"/>
    </row>
    <row r="8857" spans="9:10" x14ac:dyDescent="0.25">
      <c r="I8857" s="199"/>
      <c r="J8857" s="199"/>
    </row>
    <row r="8858" spans="9:10" x14ac:dyDescent="0.25">
      <c r="I8858" s="199"/>
      <c r="J8858" s="199"/>
    </row>
    <row r="8859" spans="9:10" x14ac:dyDescent="0.25">
      <c r="I8859" s="199"/>
      <c r="J8859" s="199"/>
    </row>
    <row r="8860" spans="9:10" x14ac:dyDescent="0.25">
      <c r="I8860" s="199"/>
      <c r="J8860" s="199"/>
    </row>
    <row r="8861" spans="9:10" x14ac:dyDescent="0.25">
      <c r="I8861" s="199"/>
      <c r="J8861" s="199"/>
    </row>
    <row r="8862" spans="9:10" x14ac:dyDescent="0.25">
      <c r="I8862" s="199"/>
      <c r="J8862" s="199"/>
    </row>
    <row r="8863" spans="9:10" x14ac:dyDescent="0.25">
      <c r="I8863" s="199"/>
      <c r="J8863" s="199"/>
    </row>
    <row r="8864" spans="9:10" x14ac:dyDescent="0.25">
      <c r="I8864" s="199"/>
      <c r="J8864" s="199"/>
    </row>
    <row r="8865" spans="9:10" x14ac:dyDescent="0.25">
      <c r="I8865" s="199"/>
      <c r="J8865" s="199"/>
    </row>
    <row r="8866" spans="9:10" x14ac:dyDescent="0.25">
      <c r="I8866" s="199"/>
      <c r="J8866" s="199"/>
    </row>
    <row r="8867" spans="9:10" x14ac:dyDescent="0.25">
      <c r="I8867" s="199"/>
      <c r="J8867" s="199"/>
    </row>
    <row r="8868" spans="9:10" x14ac:dyDescent="0.25">
      <c r="I8868" s="199"/>
      <c r="J8868" s="199"/>
    </row>
    <row r="8869" spans="9:10" x14ac:dyDescent="0.25">
      <c r="I8869" s="199"/>
      <c r="J8869" s="199"/>
    </row>
    <row r="8870" spans="9:10" x14ac:dyDescent="0.25">
      <c r="I8870" s="199"/>
      <c r="J8870" s="199"/>
    </row>
    <row r="8871" spans="9:10" x14ac:dyDescent="0.25">
      <c r="I8871" s="199"/>
      <c r="J8871" s="199"/>
    </row>
    <row r="8872" spans="9:10" x14ac:dyDescent="0.25">
      <c r="I8872" s="199"/>
      <c r="J8872" s="199"/>
    </row>
    <row r="8873" spans="9:10" x14ac:dyDescent="0.25">
      <c r="I8873" s="199"/>
      <c r="J8873" s="199"/>
    </row>
    <row r="8874" spans="9:10" x14ac:dyDescent="0.25">
      <c r="I8874" s="199"/>
      <c r="J8874" s="199"/>
    </row>
    <row r="8875" spans="9:10" x14ac:dyDescent="0.25">
      <c r="I8875" s="199"/>
      <c r="J8875" s="199"/>
    </row>
    <row r="8876" spans="9:10" x14ac:dyDescent="0.25">
      <c r="I8876" s="199"/>
      <c r="J8876" s="199"/>
    </row>
    <row r="8877" spans="9:10" x14ac:dyDescent="0.25">
      <c r="I8877" s="199"/>
      <c r="J8877" s="199"/>
    </row>
    <row r="8878" spans="9:10" x14ac:dyDescent="0.25">
      <c r="I8878" s="199"/>
      <c r="J8878" s="199"/>
    </row>
    <row r="8879" spans="9:10" x14ac:dyDescent="0.25">
      <c r="I8879" s="199"/>
      <c r="J8879" s="199"/>
    </row>
    <row r="8880" spans="9:10" x14ac:dyDescent="0.25">
      <c r="I8880" s="199"/>
      <c r="J8880" s="199"/>
    </row>
    <row r="8881" spans="9:10" x14ac:dyDescent="0.25">
      <c r="I8881" s="199"/>
      <c r="J8881" s="199"/>
    </row>
    <row r="8882" spans="9:10" x14ac:dyDescent="0.25">
      <c r="I8882" s="199"/>
      <c r="J8882" s="199"/>
    </row>
    <row r="8883" spans="9:10" x14ac:dyDescent="0.25">
      <c r="I8883" s="199"/>
      <c r="J8883" s="199"/>
    </row>
    <row r="8884" spans="9:10" x14ac:dyDescent="0.25">
      <c r="I8884" s="199"/>
      <c r="J8884" s="199"/>
    </row>
    <row r="8885" spans="9:10" x14ac:dyDescent="0.25">
      <c r="I8885" s="199"/>
      <c r="J8885" s="199"/>
    </row>
    <row r="8886" spans="9:10" x14ac:dyDescent="0.25">
      <c r="I8886" s="199"/>
      <c r="J8886" s="199"/>
    </row>
    <row r="8887" spans="9:10" x14ac:dyDescent="0.25">
      <c r="I8887" s="199"/>
      <c r="J8887" s="199"/>
    </row>
    <row r="8888" spans="9:10" x14ac:dyDescent="0.25">
      <c r="I8888" s="199"/>
      <c r="J8888" s="199"/>
    </row>
    <row r="8889" spans="9:10" x14ac:dyDescent="0.25">
      <c r="I8889" s="199"/>
      <c r="J8889" s="199"/>
    </row>
    <row r="8890" spans="9:10" x14ac:dyDescent="0.25">
      <c r="I8890" s="199"/>
      <c r="J8890" s="199"/>
    </row>
    <row r="8891" spans="9:10" x14ac:dyDescent="0.25">
      <c r="I8891" s="199"/>
      <c r="J8891" s="199"/>
    </row>
    <row r="8892" spans="9:10" x14ac:dyDescent="0.25">
      <c r="I8892" s="199"/>
      <c r="J8892" s="199"/>
    </row>
    <row r="8893" spans="9:10" x14ac:dyDescent="0.25">
      <c r="I8893" s="199"/>
      <c r="J8893" s="199"/>
    </row>
    <row r="8894" spans="9:10" x14ac:dyDescent="0.25">
      <c r="I8894" s="199"/>
      <c r="J8894" s="199"/>
    </row>
    <row r="8895" spans="9:10" x14ac:dyDescent="0.25">
      <c r="I8895" s="199"/>
      <c r="J8895" s="199"/>
    </row>
    <row r="8896" spans="9:10" x14ac:dyDescent="0.25">
      <c r="I8896" s="199"/>
      <c r="J8896" s="199"/>
    </row>
    <row r="8897" spans="9:10" x14ac:dyDescent="0.25">
      <c r="I8897" s="199"/>
      <c r="J8897" s="199"/>
    </row>
    <row r="8898" spans="9:10" x14ac:dyDescent="0.25">
      <c r="I8898" s="199"/>
      <c r="J8898" s="199"/>
    </row>
    <row r="8899" spans="9:10" x14ac:dyDescent="0.25">
      <c r="I8899" s="199"/>
      <c r="J8899" s="199"/>
    </row>
    <row r="8900" spans="9:10" x14ac:dyDescent="0.25">
      <c r="I8900" s="199"/>
      <c r="J8900" s="199"/>
    </row>
    <row r="8901" spans="9:10" x14ac:dyDescent="0.25">
      <c r="I8901" s="199"/>
      <c r="J8901" s="199"/>
    </row>
    <row r="8902" spans="9:10" x14ac:dyDescent="0.25">
      <c r="I8902" s="199"/>
      <c r="J8902" s="199"/>
    </row>
    <row r="8903" spans="9:10" x14ac:dyDescent="0.25">
      <c r="I8903" s="199"/>
      <c r="J8903" s="199"/>
    </row>
    <row r="8904" spans="9:10" x14ac:dyDescent="0.25">
      <c r="I8904" s="199"/>
      <c r="J8904" s="199"/>
    </row>
    <row r="8905" spans="9:10" x14ac:dyDescent="0.25">
      <c r="I8905" s="199"/>
      <c r="J8905" s="199"/>
    </row>
    <row r="8906" spans="9:10" x14ac:dyDescent="0.25">
      <c r="I8906" s="199"/>
      <c r="J8906" s="199"/>
    </row>
    <row r="8907" spans="9:10" x14ac:dyDescent="0.25">
      <c r="I8907" s="199"/>
      <c r="J8907" s="199"/>
    </row>
    <row r="8908" spans="9:10" x14ac:dyDescent="0.25">
      <c r="I8908" s="199"/>
      <c r="J8908" s="199"/>
    </row>
    <row r="8909" spans="9:10" x14ac:dyDescent="0.25">
      <c r="I8909" s="199"/>
      <c r="J8909" s="199"/>
    </row>
    <row r="8910" spans="9:10" x14ac:dyDescent="0.25">
      <c r="I8910" s="199"/>
      <c r="J8910" s="199"/>
    </row>
    <row r="8911" spans="9:10" x14ac:dyDescent="0.25">
      <c r="I8911" s="199"/>
      <c r="J8911" s="199"/>
    </row>
    <row r="8912" spans="9:10" x14ac:dyDescent="0.25">
      <c r="I8912" s="199"/>
      <c r="J8912" s="199"/>
    </row>
    <row r="8913" spans="9:10" x14ac:dyDescent="0.25">
      <c r="I8913" s="199"/>
      <c r="J8913" s="199"/>
    </row>
    <row r="8914" spans="9:10" x14ac:dyDescent="0.25">
      <c r="I8914" s="199"/>
      <c r="J8914" s="199"/>
    </row>
    <row r="8915" spans="9:10" x14ac:dyDescent="0.25">
      <c r="I8915" s="199"/>
      <c r="J8915" s="199"/>
    </row>
    <row r="8916" spans="9:10" x14ac:dyDescent="0.25">
      <c r="I8916" s="199"/>
      <c r="J8916" s="199"/>
    </row>
    <row r="8917" spans="9:10" x14ac:dyDescent="0.25">
      <c r="I8917" s="199"/>
      <c r="J8917" s="199"/>
    </row>
    <row r="8918" spans="9:10" x14ac:dyDescent="0.25">
      <c r="I8918" s="199"/>
      <c r="J8918" s="199"/>
    </row>
    <row r="8919" spans="9:10" x14ac:dyDescent="0.25">
      <c r="I8919" s="199"/>
      <c r="J8919" s="199"/>
    </row>
    <row r="8920" spans="9:10" x14ac:dyDescent="0.25">
      <c r="I8920" s="199"/>
      <c r="J8920" s="199"/>
    </row>
    <row r="8921" spans="9:10" x14ac:dyDescent="0.25">
      <c r="I8921" s="199"/>
      <c r="J8921" s="199"/>
    </row>
    <row r="8922" spans="9:10" x14ac:dyDescent="0.25">
      <c r="I8922" s="199"/>
      <c r="J8922" s="199"/>
    </row>
    <row r="8923" spans="9:10" x14ac:dyDescent="0.25">
      <c r="I8923" s="199"/>
      <c r="J8923" s="199"/>
    </row>
    <row r="8924" spans="9:10" x14ac:dyDescent="0.25">
      <c r="I8924" s="199"/>
      <c r="J8924" s="199"/>
    </row>
    <row r="8925" spans="9:10" x14ac:dyDescent="0.25">
      <c r="I8925" s="199"/>
      <c r="J8925" s="199"/>
    </row>
    <row r="8926" spans="9:10" x14ac:dyDescent="0.25">
      <c r="I8926" s="199"/>
      <c r="J8926" s="199"/>
    </row>
    <row r="8927" spans="9:10" x14ac:dyDescent="0.25">
      <c r="I8927" s="199"/>
      <c r="J8927" s="199"/>
    </row>
    <row r="8928" spans="9:10" x14ac:dyDescent="0.25">
      <c r="I8928" s="199"/>
      <c r="J8928" s="199"/>
    </row>
    <row r="8929" spans="9:10" x14ac:dyDescent="0.25">
      <c r="I8929" s="199"/>
      <c r="J8929" s="199"/>
    </row>
    <row r="8930" spans="9:10" x14ac:dyDescent="0.25">
      <c r="I8930" s="199"/>
      <c r="J8930" s="199"/>
    </row>
    <row r="8931" spans="9:10" x14ac:dyDescent="0.25">
      <c r="I8931" s="199"/>
      <c r="J8931" s="199"/>
    </row>
    <row r="8932" spans="9:10" x14ac:dyDescent="0.25">
      <c r="I8932" s="199"/>
      <c r="J8932" s="199"/>
    </row>
    <row r="8933" spans="9:10" x14ac:dyDescent="0.25">
      <c r="I8933" s="199"/>
      <c r="J8933" s="199"/>
    </row>
    <row r="8934" spans="9:10" x14ac:dyDescent="0.25">
      <c r="I8934" s="199"/>
      <c r="J8934" s="199"/>
    </row>
    <row r="8935" spans="9:10" x14ac:dyDescent="0.25">
      <c r="I8935" s="199"/>
      <c r="J8935" s="199"/>
    </row>
    <row r="8936" spans="9:10" x14ac:dyDescent="0.25">
      <c r="I8936" s="199"/>
      <c r="J8936" s="199"/>
    </row>
    <row r="8937" spans="9:10" x14ac:dyDescent="0.25">
      <c r="I8937" s="199"/>
      <c r="J8937" s="199"/>
    </row>
    <row r="8938" spans="9:10" x14ac:dyDescent="0.25">
      <c r="I8938" s="199"/>
      <c r="J8938" s="199"/>
    </row>
    <row r="8939" spans="9:10" x14ac:dyDescent="0.25">
      <c r="I8939" s="199"/>
      <c r="J8939" s="199"/>
    </row>
    <row r="8940" spans="9:10" x14ac:dyDescent="0.25">
      <c r="I8940" s="199"/>
      <c r="J8940" s="199"/>
    </row>
    <row r="8941" spans="9:10" x14ac:dyDescent="0.25">
      <c r="I8941" s="199"/>
      <c r="J8941" s="199"/>
    </row>
    <row r="8942" spans="9:10" x14ac:dyDescent="0.25">
      <c r="I8942" s="199"/>
      <c r="J8942" s="199"/>
    </row>
    <row r="8943" spans="9:10" x14ac:dyDescent="0.25">
      <c r="I8943" s="199"/>
      <c r="J8943" s="199"/>
    </row>
    <row r="8944" spans="9:10" x14ac:dyDescent="0.25">
      <c r="I8944" s="199"/>
      <c r="J8944" s="199"/>
    </row>
    <row r="8945" spans="9:10" x14ac:dyDescent="0.25">
      <c r="I8945" s="199"/>
      <c r="J8945" s="199"/>
    </row>
    <row r="8946" spans="9:10" x14ac:dyDescent="0.25">
      <c r="I8946" s="199"/>
      <c r="J8946" s="199"/>
    </row>
    <row r="8947" spans="9:10" x14ac:dyDescent="0.25">
      <c r="I8947" s="199"/>
      <c r="J8947" s="199"/>
    </row>
    <row r="8948" spans="9:10" x14ac:dyDescent="0.25">
      <c r="I8948" s="199"/>
      <c r="J8948" s="199"/>
    </row>
    <row r="8949" spans="9:10" x14ac:dyDescent="0.25">
      <c r="I8949" s="199"/>
      <c r="J8949" s="199"/>
    </row>
    <row r="8950" spans="9:10" x14ac:dyDescent="0.25">
      <c r="I8950" s="199"/>
      <c r="J8950" s="199"/>
    </row>
    <row r="8951" spans="9:10" x14ac:dyDescent="0.25">
      <c r="I8951" s="199"/>
      <c r="J8951" s="199"/>
    </row>
    <row r="8952" spans="9:10" x14ac:dyDescent="0.25">
      <c r="I8952" s="199"/>
      <c r="J8952" s="199"/>
    </row>
    <row r="8953" spans="9:10" x14ac:dyDescent="0.25">
      <c r="I8953" s="199"/>
      <c r="J8953" s="199"/>
    </row>
    <row r="8954" spans="9:10" x14ac:dyDescent="0.25">
      <c r="I8954" s="199"/>
      <c r="J8954" s="199"/>
    </row>
    <row r="8955" spans="9:10" x14ac:dyDescent="0.25">
      <c r="I8955" s="199"/>
      <c r="J8955" s="199"/>
    </row>
    <row r="8956" spans="9:10" x14ac:dyDescent="0.25">
      <c r="I8956" s="199"/>
      <c r="J8956" s="199"/>
    </row>
    <row r="8957" spans="9:10" x14ac:dyDescent="0.25">
      <c r="I8957" s="199"/>
      <c r="J8957" s="199"/>
    </row>
    <row r="8958" spans="9:10" x14ac:dyDescent="0.25">
      <c r="I8958" s="199"/>
      <c r="J8958" s="199"/>
    </row>
    <row r="8959" spans="9:10" x14ac:dyDescent="0.25">
      <c r="I8959" s="199"/>
      <c r="J8959" s="199"/>
    </row>
    <row r="8960" spans="9:10" x14ac:dyDescent="0.25">
      <c r="I8960" s="199"/>
      <c r="J8960" s="199"/>
    </row>
    <row r="8961" spans="9:10" x14ac:dyDescent="0.25">
      <c r="I8961" s="199"/>
      <c r="J8961" s="199"/>
    </row>
    <row r="8962" spans="9:10" x14ac:dyDescent="0.25">
      <c r="I8962" s="199"/>
      <c r="J8962" s="199"/>
    </row>
    <row r="8963" spans="9:10" x14ac:dyDescent="0.25">
      <c r="I8963" s="199"/>
      <c r="J8963" s="199"/>
    </row>
    <row r="8964" spans="9:10" x14ac:dyDescent="0.25">
      <c r="I8964" s="199"/>
      <c r="J8964" s="199"/>
    </row>
    <row r="8965" spans="9:10" x14ac:dyDescent="0.25">
      <c r="I8965" s="199"/>
      <c r="J8965" s="199"/>
    </row>
    <row r="8966" spans="9:10" x14ac:dyDescent="0.25">
      <c r="I8966" s="199"/>
      <c r="J8966" s="199"/>
    </row>
    <row r="8967" spans="9:10" x14ac:dyDescent="0.25">
      <c r="I8967" s="199"/>
      <c r="J8967" s="199"/>
    </row>
    <row r="8968" spans="9:10" x14ac:dyDescent="0.25">
      <c r="I8968" s="199"/>
      <c r="J8968" s="199"/>
    </row>
    <row r="8969" spans="9:10" x14ac:dyDescent="0.25">
      <c r="I8969" s="199"/>
      <c r="J8969" s="199"/>
    </row>
    <row r="8970" spans="9:10" x14ac:dyDescent="0.25">
      <c r="I8970" s="199"/>
      <c r="J8970" s="199"/>
    </row>
    <row r="8971" spans="9:10" x14ac:dyDescent="0.25">
      <c r="I8971" s="199"/>
      <c r="J8971" s="199"/>
    </row>
    <row r="8972" spans="9:10" x14ac:dyDescent="0.25">
      <c r="I8972" s="199"/>
      <c r="J8972" s="199"/>
    </row>
    <row r="8973" spans="9:10" x14ac:dyDescent="0.25">
      <c r="I8973" s="199"/>
      <c r="J8973" s="199"/>
    </row>
    <row r="8974" spans="9:10" x14ac:dyDescent="0.25">
      <c r="I8974" s="199"/>
      <c r="J8974" s="199"/>
    </row>
    <row r="8975" spans="9:10" x14ac:dyDescent="0.25">
      <c r="I8975" s="199"/>
      <c r="J8975" s="199"/>
    </row>
    <row r="8976" spans="9:10" x14ac:dyDescent="0.25">
      <c r="I8976" s="199"/>
      <c r="J8976" s="199"/>
    </row>
    <row r="8977" spans="9:10" x14ac:dyDescent="0.25">
      <c r="I8977" s="199"/>
      <c r="J8977" s="199"/>
    </row>
    <row r="8978" spans="9:10" x14ac:dyDescent="0.25">
      <c r="I8978" s="199"/>
      <c r="J8978" s="199"/>
    </row>
    <row r="8979" spans="9:10" x14ac:dyDescent="0.25">
      <c r="I8979" s="199"/>
      <c r="J8979" s="199"/>
    </row>
    <row r="8980" spans="9:10" x14ac:dyDescent="0.25">
      <c r="I8980" s="199"/>
      <c r="J8980" s="199"/>
    </row>
    <row r="8981" spans="9:10" x14ac:dyDescent="0.25">
      <c r="I8981" s="199"/>
      <c r="J8981" s="199"/>
    </row>
    <row r="8982" spans="9:10" x14ac:dyDescent="0.25">
      <c r="I8982" s="199"/>
      <c r="J8982" s="199"/>
    </row>
    <row r="8983" spans="9:10" x14ac:dyDescent="0.25">
      <c r="I8983" s="199"/>
      <c r="J8983" s="199"/>
    </row>
    <row r="8984" spans="9:10" x14ac:dyDescent="0.25">
      <c r="I8984" s="199"/>
      <c r="J8984" s="199"/>
    </row>
    <row r="8985" spans="9:10" x14ac:dyDescent="0.25">
      <c r="I8985" s="199"/>
      <c r="J8985" s="199"/>
    </row>
    <row r="8986" spans="9:10" x14ac:dyDescent="0.25">
      <c r="I8986" s="199"/>
      <c r="J8986" s="199"/>
    </row>
    <row r="8987" spans="9:10" x14ac:dyDescent="0.25">
      <c r="I8987" s="199"/>
      <c r="J8987" s="199"/>
    </row>
    <row r="8988" spans="9:10" x14ac:dyDescent="0.25">
      <c r="I8988" s="199"/>
      <c r="J8988" s="199"/>
    </row>
    <row r="8989" spans="9:10" x14ac:dyDescent="0.25">
      <c r="I8989" s="199"/>
      <c r="J8989" s="199"/>
    </row>
    <row r="8990" spans="9:10" x14ac:dyDescent="0.25">
      <c r="I8990" s="199"/>
      <c r="J8990" s="199"/>
    </row>
    <row r="8991" spans="9:10" x14ac:dyDescent="0.25">
      <c r="I8991" s="199"/>
      <c r="J8991" s="199"/>
    </row>
    <row r="8992" spans="9:10" x14ac:dyDescent="0.25">
      <c r="I8992" s="199"/>
      <c r="J8992" s="199"/>
    </row>
    <row r="8993" spans="9:10" x14ac:dyDescent="0.25">
      <c r="I8993" s="199"/>
      <c r="J8993" s="199"/>
    </row>
    <row r="8994" spans="9:10" x14ac:dyDescent="0.25">
      <c r="I8994" s="199"/>
      <c r="J8994" s="199"/>
    </row>
    <row r="8995" spans="9:10" x14ac:dyDescent="0.25">
      <c r="I8995" s="199"/>
      <c r="J8995" s="199"/>
    </row>
    <row r="8996" spans="9:10" x14ac:dyDescent="0.25">
      <c r="I8996" s="199"/>
      <c r="J8996" s="199"/>
    </row>
    <row r="8997" spans="9:10" x14ac:dyDescent="0.25">
      <c r="I8997" s="199"/>
      <c r="J8997" s="199"/>
    </row>
    <row r="8998" spans="9:10" x14ac:dyDescent="0.25">
      <c r="I8998" s="199"/>
      <c r="J8998" s="199"/>
    </row>
    <row r="8999" spans="9:10" x14ac:dyDescent="0.25">
      <c r="I8999" s="199"/>
      <c r="J8999" s="199"/>
    </row>
    <row r="9000" spans="9:10" x14ac:dyDescent="0.25">
      <c r="I9000" s="199"/>
      <c r="J9000" s="199"/>
    </row>
    <row r="9001" spans="9:10" x14ac:dyDescent="0.25">
      <c r="I9001" s="199"/>
      <c r="J9001" s="199"/>
    </row>
    <row r="9002" spans="9:10" x14ac:dyDescent="0.25">
      <c r="I9002" s="199"/>
      <c r="J9002" s="199"/>
    </row>
    <row r="9003" spans="9:10" x14ac:dyDescent="0.25">
      <c r="I9003" s="199"/>
      <c r="J9003" s="199"/>
    </row>
    <row r="9004" spans="9:10" x14ac:dyDescent="0.25">
      <c r="I9004" s="199"/>
      <c r="J9004" s="199"/>
    </row>
    <row r="9005" spans="9:10" x14ac:dyDescent="0.25">
      <c r="I9005" s="199"/>
      <c r="J9005" s="199"/>
    </row>
    <row r="9006" spans="9:10" x14ac:dyDescent="0.25">
      <c r="I9006" s="199"/>
      <c r="J9006" s="199"/>
    </row>
    <row r="9007" spans="9:10" x14ac:dyDescent="0.25">
      <c r="I9007" s="199"/>
      <c r="J9007" s="199"/>
    </row>
    <row r="9008" spans="9:10" x14ac:dyDescent="0.25">
      <c r="I9008" s="199"/>
      <c r="J9008" s="199"/>
    </row>
    <row r="9009" spans="9:10" x14ac:dyDescent="0.25">
      <c r="I9009" s="199"/>
      <c r="J9009" s="199"/>
    </row>
    <row r="9010" spans="9:10" x14ac:dyDescent="0.25">
      <c r="I9010" s="199"/>
      <c r="J9010" s="199"/>
    </row>
    <row r="9011" spans="9:10" x14ac:dyDescent="0.25">
      <c r="I9011" s="199"/>
      <c r="J9011" s="199"/>
    </row>
    <row r="9012" spans="9:10" x14ac:dyDescent="0.25">
      <c r="I9012" s="199"/>
      <c r="J9012" s="199"/>
    </row>
    <row r="9013" spans="9:10" x14ac:dyDescent="0.25">
      <c r="I9013" s="199"/>
      <c r="J9013" s="199"/>
    </row>
    <row r="9014" spans="9:10" x14ac:dyDescent="0.25">
      <c r="I9014" s="199"/>
      <c r="J9014" s="199"/>
    </row>
    <row r="9015" spans="9:10" x14ac:dyDescent="0.25">
      <c r="I9015" s="199"/>
      <c r="J9015" s="199"/>
    </row>
    <row r="9016" spans="9:10" x14ac:dyDescent="0.25">
      <c r="I9016" s="199"/>
      <c r="J9016" s="199"/>
    </row>
    <row r="9017" spans="9:10" x14ac:dyDescent="0.25">
      <c r="I9017" s="199"/>
      <c r="J9017" s="199"/>
    </row>
    <row r="9018" spans="9:10" x14ac:dyDescent="0.25">
      <c r="I9018" s="199"/>
      <c r="J9018" s="199"/>
    </row>
    <row r="9019" spans="9:10" x14ac:dyDescent="0.25">
      <c r="I9019" s="199"/>
      <c r="J9019" s="199"/>
    </row>
    <row r="9020" spans="9:10" x14ac:dyDescent="0.25">
      <c r="I9020" s="199"/>
      <c r="J9020" s="199"/>
    </row>
    <row r="9021" spans="9:10" x14ac:dyDescent="0.25">
      <c r="I9021" s="199"/>
      <c r="J9021" s="199"/>
    </row>
    <row r="9022" spans="9:10" x14ac:dyDescent="0.25">
      <c r="I9022" s="199"/>
      <c r="J9022" s="199"/>
    </row>
    <row r="9023" spans="9:10" x14ac:dyDescent="0.25">
      <c r="I9023" s="199"/>
      <c r="J9023" s="199"/>
    </row>
    <row r="9024" spans="9:10" x14ac:dyDescent="0.25">
      <c r="I9024" s="199"/>
      <c r="J9024" s="199"/>
    </row>
    <row r="9025" spans="9:10" x14ac:dyDescent="0.25">
      <c r="I9025" s="199"/>
      <c r="J9025" s="199"/>
    </row>
    <row r="9026" spans="9:10" x14ac:dyDescent="0.25">
      <c r="I9026" s="199"/>
      <c r="J9026" s="199"/>
    </row>
    <row r="9027" spans="9:10" x14ac:dyDescent="0.25">
      <c r="I9027" s="199"/>
      <c r="J9027" s="199"/>
    </row>
    <row r="9028" spans="9:10" x14ac:dyDescent="0.25">
      <c r="I9028" s="199"/>
      <c r="J9028" s="199"/>
    </row>
    <row r="9029" spans="9:10" x14ac:dyDescent="0.25">
      <c r="I9029" s="199"/>
      <c r="J9029" s="199"/>
    </row>
    <row r="9030" spans="9:10" x14ac:dyDescent="0.25">
      <c r="I9030" s="199"/>
      <c r="J9030" s="199"/>
    </row>
    <row r="9031" spans="9:10" x14ac:dyDescent="0.25">
      <c r="I9031" s="199"/>
      <c r="J9031" s="199"/>
    </row>
    <row r="9032" spans="9:10" x14ac:dyDescent="0.25">
      <c r="I9032" s="199"/>
      <c r="J9032" s="199"/>
    </row>
    <row r="9033" spans="9:10" x14ac:dyDescent="0.25">
      <c r="I9033" s="199"/>
      <c r="J9033" s="199"/>
    </row>
    <row r="9034" spans="9:10" x14ac:dyDescent="0.25">
      <c r="I9034" s="199"/>
      <c r="J9034" s="199"/>
    </row>
    <row r="9035" spans="9:10" x14ac:dyDescent="0.25">
      <c r="I9035" s="199"/>
      <c r="J9035" s="199"/>
    </row>
    <row r="9036" spans="9:10" x14ac:dyDescent="0.25">
      <c r="I9036" s="199"/>
      <c r="J9036" s="199"/>
    </row>
    <row r="9037" spans="9:10" x14ac:dyDescent="0.25">
      <c r="I9037" s="199"/>
      <c r="J9037" s="199"/>
    </row>
    <row r="9038" spans="9:10" x14ac:dyDescent="0.25">
      <c r="I9038" s="199"/>
      <c r="J9038" s="199"/>
    </row>
    <row r="9039" spans="9:10" x14ac:dyDescent="0.25">
      <c r="I9039" s="199"/>
      <c r="J9039" s="199"/>
    </row>
    <row r="9040" spans="9:10" x14ac:dyDescent="0.25">
      <c r="I9040" s="199"/>
      <c r="J9040" s="199"/>
    </row>
    <row r="9041" spans="9:10" x14ac:dyDescent="0.25">
      <c r="I9041" s="199"/>
      <c r="J9041" s="199"/>
    </row>
    <row r="9042" spans="9:10" x14ac:dyDescent="0.25">
      <c r="I9042" s="199"/>
      <c r="J9042" s="199"/>
    </row>
    <row r="9043" spans="9:10" x14ac:dyDescent="0.25">
      <c r="I9043" s="199"/>
      <c r="J9043" s="199"/>
    </row>
    <row r="9044" spans="9:10" x14ac:dyDescent="0.25">
      <c r="I9044" s="199"/>
      <c r="J9044" s="199"/>
    </row>
    <row r="9045" spans="9:10" x14ac:dyDescent="0.25">
      <c r="I9045" s="199"/>
      <c r="J9045" s="199"/>
    </row>
    <row r="9046" spans="9:10" x14ac:dyDescent="0.25">
      <c r="I9046" s="199"/>
      <c r="J9046" s="199"/>
    </row>
    <row r="9047" spans="9:10" x14ac:dyDescent="0.25">
      <c r="I9047" s="199"/>
      <c r="J9047" s="199"/>
    </row>
    <row r="9048" spans="9:10" x14ac:dyDescent="0.25">
      <c r="I9048" s="199"/>
      <c r="J9048" s="199"/>
    </row>
    <row r="9049" spans="9:10" x14ac:dyDescent="0.25">
      <c r="I9049" s="199"/>
      <c r="J9049" s="199"/>
    </row>
    <row r="9050" spans="9:10" x14ac:dyDescent="0.25">
      <c r="I9050" s="199"/>
      <c r="J9050" s="199"/>
    </row>
    <row r="9051" spans="9:10" x14ac:dyDescent="0.25">
      <c r="I9051" s="199"/>
      <c r="J9051" s="199"/>
    </row>
    <row r="9052" spans="9:10" x14ac:dyDescent="0.25">
      <c r="I9052" s="199"/>
      <c r="J9052" s="199"/>
    </row>
    <row r="9053" spans="9:10" x14ac:dyDescent="0.25">
      <c r="I9053" s="199"/>
      <c r="J9053" s="199"/>
    </row>
    <row r="9054" spans="9:10" x14ac:dyDescent="0.25">
      <c r="I9054" s="199"/>
      <c r="J9054" s="199"/>
    </row>
    <row r="9055" spans="9:10" x14ac:dyDescent="0.25">
      <c r="I9055" s="199"/>
      <c r="J9055" s="199"/>
    </row>
    <row r="9056" spans="9:10" x14ac:dyDescent="0.25">
      <c r="I9056" s="199"/>
      <c r="J9056" s="199"/>
    </row>
    <row r="9057" spans="9:10" x14ac:dyDescent="0.25">
      <c r="I9057" s="199"/>
      <c r="J9057" s="199"/>
    </row>
    <row r="9058" spans="9:10" x14ac:dyDescent="0.25">
      <c r="I9058" s="199"/>
      <c r="J9058" s="199"/>
    </row>
    <row r="9059" spans="9:10" x14ac:dyDescent="0.25">
      <c r="I9059" s="199"/>
      <c r="J9059" s="199"/>
    </row>
    <row r="9060" spans="9:10" x14ac:dyDescent="0.25">
      <c r="I9060" s="199"/>
      <c r="J9060" s="199"/>
    </row>
    <row r="9061" spans="9:10" x14ac:dyDescent="0.25">
      <c r="I9061" s="199"/>
      <c r="J9061" s="199"/>
    </row>
    <row r="9062" spans="9:10" x14ac:dyDescent="0.25">
      <c r="I9062" s="199"/>
      <c r="J9062" s="199"/>
    </row>
    <row r="9063" spans="9:10" x14ac:dyDescent="0.25">
      <c r="I9063" s="199"/>
      <c r="J9063" s="199"/>
    </row>
    <row r="9064" spans="9:10" x14ac:dyDescent="0.25">
      <c r="I9064" s="199"/>
      <c r="J9064" s="199"/>
    </row>
    <row r="9065" spans="9:10" x14ac:dyDescent="0.25">
      <c r="I9065" s="199"/>
      <c r="J9065" s="199"/>
    </row>
    <row r="9066" spans="9:10" x14ac:dyDescent="0.25">
      <c r="I9066" s="199"/>
      <c r="J9066" s="199"/>
    </row>
    <row r="9067" spans="9:10" x14ac:dyDescent="0.25">
      <c r="I9067" s="199"/>
      <c r="J9067" s="199"/>
    </row>
    <row r="9068" spans="9:10" x14ac:dyDescent="0.25">
      <c r="I9068" s="199"/>
      <c r="J9068" s="199"/>
    </row>
    <row r="9069" spans="9:10" x14ac:dyDescent="0.25">
      <c r="I9069" s="199"/>
      <c r="J9069" s="199"/>
    </row>
    <row r="9070" spans="9:10" x14ac:dyDescent="0.25">
      <c r="I9070" s="199"/>
      <c r="J9070" s="199"/>
    </row>
    <row r="9071" spans="9:10" x14ac:dyDescent="0.25">
      <c r="I9071" s="199"/>
      <c r="J9071" s="199"/>
    </row>
    <row r="9072" spans="9:10" x14ac:dyDescent="0.25">
      <c r="I9072" s="199"/>
      <c r="J9072" s="199"/>
    </row>
    <row r="9073" spans="9:10" x14ac:dyDescent="0.25">
      <c r="I9073" s="199"/>
      <c r="J9073" s="199"/>
    </row>
    <row r="9074" spans="9:10" x14ac:dyDescent="0.25">
      <c r="I9074" s="199"/>
      <c r="J9074" s="199"/>
    </row>
    <row r="9075" spans="9:10" x14ac:dyDescent="0.25">
      <c r="I9075" s="199"/>
      <c r="J9075" s="199"/>
    </row>
    <row r="9076" spans="9:10" x14ac:dyDescent="0.25">
      <c r="I9076" s="199"/>
      <c r="J9076" s="199"/>
    </row>
    <row r="9077" spans="9:10" x14ac:dyDescent="0.25">
      <c r="I9077" s="199"/>
      <c r="J9077" s="199"/>
    </row>
    <row r="9078" spans="9:10" x14ac:dyDescent="0.25">
      <c r="I9078" s="199"/>
      <c r="J9078" s="199"/>
    </row>
    <row r="9079" spans="9:10" x14ac:dyDescent="0.25">
      <c r="I9079" s="199"/>
      <c r="J9079" s="199"/>
    </row>
    <row r="9080" spans="9:10" x14ac:dyDescent="0.25">
      <c r="I9080" s="199"/>
      <c r="J9080" s="199"/>
    </row>
    <row r="9081" spans="9:10" x14ac:dyDescent="0.25">
      <c r="I9081" s="199"/>
      <c r="J9081" s="199"/>
    </row>
    <row r="9082" spans="9:10" x14ac:dyDescent="0.25">
      <c r="I9082" s="199"/>
      <c r="J9082" s="199"/>
    </row>
    <row r="9083" spans="9:10" x14ac:dyDescent="0.25">
      <c r="I9083" s="199"/>
      <c r="J9083" s="199"/>
    </row>
    <row r="9084" spans="9:10" x14ac:dyDescent="0.25">
      <c r="I9084" s="199"/>
      <c r="J9084" s="199"/>
    </row>
    <row r="9085" spans="9:10" x14ac:dyDescent="0.25">
      <c r="I9085" s="199"/>
      <c r="J9085" s="199"/>
    </row>
    <row r="9086" spans="9:10" x14ac:dyDescent="0.25">
      <c r="I9086" s="199"/>
      <c r="J9086" s="199"/>
    </row>
    <row r="9087" spans="9:10" x14ac:dyDescent="0.25">
      <c r="I9087" s="199"/>
      <c r="J9087" s="199"/>
    </row>
    <row r="9088" spans="9:10" x14ac:dyDescent="0.25">
      <c r="I9088" s="199"/>
      <c r="J9088" s="199"/>
    </row>
    <row r="9089" spans="9:10" x14ac:dyDescent="0.25">
      <c r="I9089" s="199"/>
      <c r="J9089" s="199"/>
    </row>
    <row r="9090" spans="9:10" x14ac:dyDescent="0.25">
      <c r="I9090" s="199"/>
      <c r="J9090" s="199"/>
    </row>
    <row r="9091" spans="9:10" x14ac:dyDescent="0.25">
      <c r="I9091" s="199"/>
      <c r="J9091" s="199"/>
    </row>
    <row r="9092" spans="9:10" x14ac:dyDescent="0.25">
      <c r="I9092" s="199"/>
      <c r="J9092" s="199"/>
    </row>
    <row r="9093" spans="9:10" x14ac:dyDescent="0.25">
      <c r="I9093" s="199"/>
      <c r="J9093" s="199"/>
    </row>
    <row r="9094" spans="9:10" x14ac:dyDescent="0.25">
      <c r="I9094" s="199"/>
      <c r="J9094" s="199"/>
    </row>
    <row r="9095" spans="9:10" x14ac:dyDescent="0.25">
      <c r="I9095" s="199"/>
      <c r="J9095" s="199"/>
    </row>
    <row r="9096" spans="9:10" x14ac:dyDescent="0.25">
      <c r="I9096" s="199"/>
      <c r="J9096" s="199"/>
    </row>
    <row r="9097" spans="9:10" x14ac:dyDescent="0.25">
      <c r="I9097" s="199"/>
      <c r="J9097" s="199"/>
    </row>
    <row r="9098" spans="9:10" x14ac:dyDescent="0.25">
      <c r="I9098" s="199"/>
      <c r="J9098" s="199"/>
    </row>
    <row r="9099" spans="9:10" x14ac:dyDescent="0.25">
      <c r="I9099" s="199"/>
      <c r="J9099" s="199"/>
    </row>
    <row r="9100" spans="9:10" x14ac:dyDescent="0.25">
      <c r="I9100" s="199"/>
      <c r="J9100" s="199"/>
    </row>
    <row r="9101" spans="9:10" x14ac:dyDescent="0.25">
      <c r="I9101" s="199"/>
      <c r="J9101" s="199"/>
    </row>
    <row r="9102" spans="9:10" x14ac:dyDescent="0.25">
      <c r="I9102" s="199"/>
      <c r="J9102" s="199"/>
    </row>
    <row r="9103" spans="9:10" x14ac:dyDescent="0.25">
      <c r="I9103" s="199"/>
      <c r="J9103" s="199"/>
    </row>
    <row r="9104" spans="9:10" x14ac:dyDescent="0.25">
      <c r="I9104" s="199"/>
      <c r="J9104" s="199"/>
    </row>
    <row r="9105" spans="9:10" x14ac:dyDescent="0.25">
      <c r="I9105" s="199"/>
      <c r="J9105" s="199"/>
    </row>
    <row r="9106" spans="9:10" x14ac:dyDescent="0.25">
      <c r="I9106" s="199"/>
      <c r="J9106" s="199"/>
    </row>
    <row r="9107" spans="9:10" x14ac:dyDescent="0.25">
      <c r="I9107" s="199"/>
      <c r="J9107" s="199"/>
    </row>
    <row r="9108" spans="9:10" x14ac:dyDescent="0.25">
      <c r="I9108" s="199"/>
      <c r="J9108" s="199"/>
    </row>
    <row r="9109" spans="9:10" x14ac:dyDescent="0.25">
      <c r="I9109" s="199"/>
      <c r="J9109" s="199"/>
    </row>
    <row r="9110" spans="9:10" x14ac:dyDescent="0.25">
      <c r="I9110" s="199"/>
      <c r="J9110" s="199"/>
    </row>
    <row r="9111" spans="9:10" x14ac:dyDescent="0.25">
      <c r="I9111" s="199"/>
      <c r="J9111" s="199"/>
    </row>
    <row r="9112" spans="9:10" x14ac:dyDescent="0.25">
      <c r="I9112" s="199"/>
      <c r="J9112" s="199"/>
    </row>
    <row r="9113" spans="9:10" x14ac:dyDescent="0.25">
      <c r="I9113" s="199"/>
      <c r="J9113" s="199"/>
    </row>
    <row r="9114" spans="9:10" x14ac:dyDescent="0.25">
      <c r="I9114" s="199"/>
      <c r="J9114" s="199"/>
    </row>
    <row r="9115" spans="9:10" x14ac:dyDescent="0.25">
      <c r="I9115" s="199"/>
      <c r="J9115" s="199"/>
    </row>
    <row r="9116" spans="9:10" x14ac:dyDescent="0.25">
      <c r="I9116" s="199"/>
      <c r="J9116" s="199"/>
    </row>
    <row r="9117" spans="9:10" x14ac:dyDescent="0.25">
      <c r="I9117" s="199"/>
      <c r="J9117" s="199"/>
    </row>
    <row r="9118" spans="9:10" x14ac:dyDescent="0.25">
      <c r="I9118" s="199"/>
      <c r="J9118" s="199"/>
    </row>
    <row r="9119" spans="9:10" x14ac:dyDescent="0.25">
      <c r="I9119" s="199"/>
      <c r="J9119" s="199"/>
    </row>
    <row r="9120" spans="9:10" x14ac:dyDescent="0.25">
      <c r="I9120" s="199"/>
      <c r="J9120" s="199"/>
    </row>
    <row r="9121" spans="9:10" x14ac:dyDescent="0.25">
      <c r="I9121" s="199"/>
      <c r="J9121" s="199"/>
    </row>
    <row r="9122" spans="9:10" x14ac:dyDescent="0.25">
      <c r="I9122" s="199"/>
      <c r="J9122" s="199"/>
    </row>
    <row r="9123" spans="9:10" x14ac:dyDescent="0.25">
      <c r="I9123" s="199"/>
      <c r="J9123" s="199"/>
    </row>
    <row r="9124" spans="9:10" x14ac:dyDescent="0.25">
      <c r="I9124" s="199"/>
      <c r="J9124" s="199"/>
    </row>
    <row r="9125" spans="9:10" x14ac:dyDescent="0.25">
      <c r="I9125" s="199"/>
      <c r="J9125" s="199"/>
    </row>
    <row r="9126" spans="9:10" x14ac:dyDescent="0.25">
      <c r="I9126" s="199"/>
      <c r="J9126" s="199"/>
    </row>
    <row r="9127" spans="9:10" x14ac:dyDescent="0.25">
      <c r="I9127" s="199"/>
      <c r="J9127" s="199"/>
    </row>
    <row r="9128" spans="9:10" x14ac:dyDescent="0.25">
      <c r="I9128" s="199"/>
      <c r="J9128" s="199"/>
    </row>
    <row r="9129" spans="9:10" x14ac:dyDescent="0.25">
      <c r="I9129" s="199"/>
      <c r="J9129" s="199"/>
    </row>
    <row r="9130" spans="9:10" x14ac:dyDescent="0.25">
      <c r="I9130" s="199"/>
      <c r="J9130" s="199"/>
    </row>
    <row r="9131" spans="9:10" x14ac:dyDescent="0.25">
      <c r="I9131" s="199"/>
      <c r="J9131" s="199"/>
    </row>
    <row r="9132" spans="9:10" x14ac:dyDescent="0.25">
      <c r="I9132" s="199"/>
      <c r="J9132" s="199"/>
    </row>
    <row r="9133" spans="9:10" x14ac:dyDescent="0.25">
      <c r="I9133" s="199"/>
      <c r="J9133" s="199"/>
    </row>
    <row r="9134" spans="9:10" x14ac:dyDescent="0.25">
      <c r="I9134" s="199"/>
      <c r="J9134" s="199"/>
    </row>
    <row r="9135" spans="9:10" x14ac:dyDescent="0.25">
      <c r="I9135" s="199"/>
      <c r="J9135" s="199"/>
    </row>
    <row r="9136" spans="9:10" x14ac:dyDescent="0.25">
      <c r="I9136" s="199"/>
      <c r="J9136" s="199"/>
    </row>
    <row r="9137" spans="9:10" x14ac:dyDescent="0.25">
      <c r="I9137" s="199"/>
      <c r="J9137" s="199"/>
    </row>
    <row r="9138" spans="9:10" x14ac:dyDescent="0.25">
      <c r="I9138" s="199"/>
      <c r="J9138" s="199"/>
    </row>
    <row r="9139" spans="9:10" x14ac:dyDescent="0.25">
      <c r="I9139" s="199"/>
      <c r="J9139" s="199"/>
    </row>
    <row r="9140" spans="9:10" x14ac:dyDescent="0.25">
      <c r="I9140" s="199"/>
      <c r="J9140" s="199"/>
    </row>
    <row r="9141" spans="9:10" x14ac:dyDescent="0.25">
      <c r="I9141" s="199"/>
      <c r="J9141" s="199"/>
    </row>
    <row r="9142" spans="9:10" x14ac:dyDescent="0.25">
      <c r="I9142" s="199"/>
      <c r="J9142" s="199"/>
    </row>
    <row r="9143" spans="9:10" x14ac:dyDescent="0.25">
      <c r="I9143" s="199"/>
      <c r="J9143" s="199"/>
    </row>
    <row r="9144" spans="9:10" x14ac:dyDescent="0.25">
      <c r="I9144" s="199"/>
      <c r="J9144" s="199"/>
    </row>
    <row r="9145" spans="9:10" x14ac:dyDescent="0.25">
      <c r="I9145" s="199"/>
      <c r="J9145" s="199"/>
    </row>
    <row r="9146" spans="9:10" x14ac:dyDescent="0.25">
      <c r="I9146" s="199"/>
      <c r="J9146" s="199"/>
    </row>
    <row r="9147" spans="9:10" x14ac:dyDescent="0.25">
      <c r="I9147" s="199"/>
      <c r="J9147" s="199"/>
    </row>
    <row r="9148" spans="9:10" x14ac:dyDescent="0.25">
      <c r="I9148" s="199"/>
      <c r="J9148" s="199"/>
    </row>
    <row r="9149" spans="9:10" x14ac:dyDescent="0.25">
      <c r="I9149" s="199"/>
      <c r="J9149" s="199"/>
    </row>
    <row r="9150" spans="9:10" x14ac:dyDescent="0.25">
      <c r="I9150" s="199"/>
      <c r="J9150" s="199"/>
    </row>
    <row r="9151" spans="9:10" x14ac:dyDescent="0.25">
      <c r="I9151" s="199"/>
      <c r="J9151" s="199"/>
    </row>
    <row r="9152" spans="9:10" x14ac:dyDescent="0.25">
      <c r="I9152" s="199"/>
      <c r="J9152" s="199"/>
    </row>
    <row r="9153" spans="9:10" x14ac:dyDescent="0.25">
      <c r="I9153" s="199"/>
      <c r="J9153" s="199"/>
    </row>
    <row r="9154" spans="9:10" x14ac:dyDescent="0.25">
      <c r="I9154" s="199"/>
      <c r="J9154" s="199"/>
    </row>
    <row r="9155" spans="9:10" x14ac:dyDescent="0.25">
      <c r="I9155" s="199"/>
      <c r="J9155" s="199"/>
    </row>
    <row r="9156" spans="9:10" x14ac:dyDescent="0.25">
      <c r="I9156" s="199"/>
      <c r="J9156" s="199"/>
    </row>
    <row r="9157" spans="9:10" x14ac:dyDescent="0.25">
      <c r="I9157" s="199"/>
      <c r="J9157" s="199"/>
    </row>
    <row r="9158" spans="9:10" x14ac:dyDescent="0.25">
      <c r="I9158" s="199"/>
      <c r="J9158" s="199"/>
    </row>
    <row r="9159" spans="9:10" x14ac:dyDescent="0.25">
      <c r="I9159" s="199"/>
      <c r="J9159" s="199"/>
    </row>
    <row r="9160" spans="9:10" x14ac:dyDescent="0.25">
      <c r="I9160" s="199"/>
      <c r="J9160" s="199"/>
    </row>
    <row r="9161" spans="9:10" x14ac:dyDescent="0.25">
      <c r="I9161" s="199"/>
      <c r="J9161" s="199"/>
    </row>
    <row r="9162" spans="9:10" x14ac:dyDescent="0.25">
      <c r="I9162" s="199"/>
      <c r="J9162" s="199"/>
    </row>
    <row r="9163" spans="9:10" x14ac:dyDescent="0.25">
      <c r="I9163" s="199"/>
      <c r="J9163" s="199"/>
    </row>
    <row r="9164" spans="9:10" x14ac:dyDescent="0.25">
      <c r="I9164" s="199"/>
      <c r="J9164" s="199"/>
    </row>
    <row r="9165" spans="9:10" x14ac:dyDescent="0.25">
      <c r="I9165" s="199"/>
      <c r="J9165" s="199"/>
    </row>
    <row r="9166" spans="9:10" x14ac:dyDescent="0.25">
      <c r="I9166" s="199"/>
      <c r="J9166" s="199"/>
    </row>
    <row r="9167" spans="9:10" x14ac:dyDescent="0.25">
      <c r="I9167" s="199"/>
      <c r="J9167" s="199"/>
    </row>
    <row r="9168" spans="9:10" x14ac:dyDescent="0.25">
      <c r="I9168" s="199"/>
      <c r="J9168" s="199"/>
    </row>
    <row r="9169" spans="9:10" x14ac:dyDescent="0.25">
      <c r="I9169" s="199"/>
      <c r="J9169" s="199"/>
    </row>
    <row r="9170" spans="9:10" x14ac:dyDescent="0.25">
      <c r="I9170" s="199"/>
      <c r="J9170" s="199"/>
    </row>
    <row r="9171" spans="9:10" x14ac:dyDescent="0.25">
      <c r="I9171" s="199"/>
      <c r="J9171" s="199"/>
    </row>
    <row r="9172" spans="9:10" x14ac:dyDescent="0.25">
      <c r="I9172" s="199"/>
      <c r="J9172" s="199"/>
    </row>
    <row r="9173" spans="9:10" x14ac:dyDescent="0.25">
      <c r="I9173" s="199"/>
      <c r="J9173" s="199"/>
    </row>
    <row r="9174" spans="9:10" x14ac:dyDescent="0.25">
      <c r="I9174" s="199"/>
      <c r="J9174" s="199"/>
    </row>
    <row r="9175" spans="9:10" x14ac:dyDescent="0.25">
      <c r="I9175" s="199"/>
      <c r="J9175" s="199"/>
    </row>
    <row r="9176" spans="9:10" x14ac:dyDescent="0.25">
      <c r="I9176" s="199"/>
      <c r="J9176" s="199"/>
    </row>
    <row r="9177" spans="9:10" x14ac:dyDescent="0.25">
      <c r="I9177" s="199"/>
      <c r="J9177" s="199"/>
    </row>
    <row r="9178" spans="9:10" x14ac:dyDescent="0.25">
      <c r="I9178" s="199"/>
      <c r="J9178" s="199"/>
    </row>
    <row r="9179" spans="9:10" x14ac:dyDescent="0.25">
      <c r="I9179" s="199"/>
      <c r="J9179" s="199"/>
    </row>
    <row r="9180" spans="9:10" x14ac:dyDescent="0.25">
      <c r="I9180" s="199"/>
      <c r="J9180" s="199"/>
    </row>
    <row r="9181" spans="9:10" x14ac:dyDescent="0.25">
      <c r="I9181" s="199"/>
      <c r="J9181" s="199"/>
    </row>
    <row r="9182" spans="9:10" x14ac:dyDescent="0.25">
      <c r="I9182" s="199"/>
      <c r="J9182" s="199"/>
    </row>
    <row r="9183" spans="9:10" x14ac:dyDescent="0.25">
      <c r="I9183" s="199"/>
      <c r="J9183" s="199"/>
    </row>
    <row r="9184" spans="9:10" x14ac:dyDescent="0.25">
      <c r="I9184" s="199"/>
      <c r="J9184" s="199"/>
    </row>
    <row r="9185" spans="9:10" x14ac:dyDescent="0.25">
      <c r="I9185" s="199"/>
      <c r="J9185" s="199"/>
    </row>
    <row r="9186" spans="9:10" x14ac:dyDescent="0.25">
      <c r="I9186" s="199"/>
      <c r="J9186" s="199"/>
    </row>
    <row r="9187" spans="9:10" x14ac:dyDescent="0.25">
      <c r="I9187" s="199"/>
      <c r="J9187" s="199"/>
    </row>
    <row r="9188" spans="9:10" x14ac:dyDescent="0.25">
      <c r="I9188" s="199"/>
      <c r="J9188" s="199"/>
    </row>
    <row r="9189" spans="9:10" x14ac:dyDescent="0.25">
      <c r="I9189" s="199"/>
      <c r="J9189" s="199"/>
    </row>
    <row r="9190" spans="9:10" x14ac:dyDescent="0.25">
      <c r="I9190" s="199"/>
      <c r="J9190" s="199"/>
    </row>
    <row r="9191" spans="9:10" x14ac:dyDescent="0.25">
      <c r="I9191" s="199"/>
      <c r="J9191" s="199"/>
    </row>
    <row r="9192" spans="9:10" x14ac:dyDescent="0.25">
      <c r="I9192" s="199"/>
      <c r="J9192" s="199"/>
    </row>
    <row r="9193" spans="9:10" x14ac:dyDescent="0.25">
      <c r="I9193" s="199"/>
      <c r="J9193" s="199"/>
    </row>
    <row r="9194" spans="9:10" x14ac:dyDescent="0.25">
      <c r="I9194" s="199"/>
      <c r="J9194" s="199"/>
    </row>
    <row r="9195" spans="9:10" x14ac:dyDescent="0.25">
      <c r="I9195" s="199"/>
      <c r="J9195" s="199"/>
    </row>
    <row r="9196" spans="9:10" x14ac:dyDescent="0.25">
      <c r="I9196" s="199"/>
      <c r="J9196" s="199"/>
    </row>
    <row r="9197" spans="9:10" x14ac:dyDescent="0.25">
      <c r="I9197" s="199"/>
      <c r="J9197" s="199"/>
    </row>
    <row r="9198" spans="9:10" x14ac:dyDescent="0.25">
      <c r="I9198" s="199"/>
      <c r="J9198" s="199"/>
    </row>
    <row r="9199" spans="9:10" x14ac:dyDescent="0.25">
      <c r="I9199" s="199"/>
      <c r="J9199" s="199"/>
    </row>
    <row r="9200" spans="9:10" x14ac:dyDescent="0.25">
      <c r="I9200" s="199"/>
      <c r="J9200" s="199"/>
    </row>
    <row r="9201" spans="9:10" x14ac:dyDescent="0.25">
      <c r="I9201" s="199"/>
      <c r="J9201" s="199"/>
    </row>
    <row r="9202" spans="9:10" x14ac:dyDescent="0.25">
      <c r="I9202" s="199"/>
      <c r="J9202" s="199"/>
    </row>
    <row r="9203" spans="9:10" x14ac:dyDescent="0.25">
      <c r="I9203" s="199"/>
      <c r="J9203" s="199"/>
    </row>
    <row r="9204" spans="9:10" x14ac:dyDescent="0.25">
      <c r="I9204" s="199"/>
      <c r="J9204" s="199"/>
    </row>
    <row r="9205" spans="9:10" x14ac:dyDescent="0.25">
      <c r="I9205" s="199"/>
      <c r="J9205" s="199"/>
    </row>
    <row r="9206" spans="9:10" x14ac:dyDescent="0.25">
      <c r="I9206" s="199"/>
      <c r="J9206" s="199"/>
    </row>
    <row r="9207" spans="9:10" x14ac:dyDescent="0.25">
      <c r="I9207" s="199"/>
      <c r="J9207" s="199"/>
    </row>
    <row r="9208" spans="9:10" x14ac:dyDescent="0.25">
      <c r="I9208" s="199"/>
      <c r="J9208" s="199"/>
    </row>
    <row r="9209" spans="9:10" x14ac:dyDescent="0.25">
      <c r="I9209" s="199"/>
      <c r="J9209" s="199"/>
    </row>
    <row r="9210" spans="9:10" x14ac:dyDescent="0.25">
      <c r="I9210" s="199"/>
      <c r="J9210" s="199"/>
    </row>
    <row r="9211" spans="9:10" x14ac:dyDescent="0.25">
      <c r="I9211" s="199"/>
      <c r="J9211" s="199"/>
    </row>
    <row r="9212" spans="9:10" x14ac:dyDescent="0.25">
      <c r="I9212" s="199"/>
      <c r="J9212" s="199"/>
    </row>
    <row r="9213" spans="9:10" x14ac:dyDescent="0.25">
      <c r="I9213" s="199"/>
      <c r="J9213" s="199"/>
    </row>
    <row r="9214" spans="9:10" x14ac:dyDescent="0.25">
      <c r="I9214" s="199"/>
      <c r="J9214" s="199"/>
    </row>
    <row r="9215" spans="9:10" x14ac:dyDescent="0.25">
      <c r="I9215" s="199"/>
      <c r="J9215" s="199"/>
    </row>
    <row r="9216" spans="9:10" x14ac:dyDescent="0.25">
      <c r="I9216" s="199"/>
      <c r="J9216" s="199"/>
    </row>
    <row r="9217" spans="9:10" x14ac:dyDescent="0.25">
      <c r="I9217" s="199"/>
      <c r="J9217" s="199"/>
    </row>
    <row r="9218" spans="9:10" x14ac:dyDescent="0.25">
      <c r="I9218" s="199"/>
      <c r="J9218" s="199"/>
    </row>
    <row r="9219" spans="9:10" x14ac:dyDescent="0.25">
      <c r="I9219" s="199"/>
      <c r="J9219" s="199"/>
    </row>
    <row r="9220" spans="9:10" x14ac:dyDescent="0.25">
      <c r="I9220" s="199"/>
      <c r="J9220" s="199"/>
    </row>
    <row r="9221" spans="9:10" x14ac:dyDescent="0.25">
      <c r="I9221" s="199"/>
      <c r="J9221" s="199"/>
    </row>
    <row r="9222" spans="9:10" x14ac:dyDescent="0.25">
      <c r="I9222" s="199"/>
      <c r="J9222" s="199"/>
    </row>
    <row r="9223" spans="9:10" x14ac:dyDescent="0.25">
      <c r="I9223" s="199"/>
      <c r="J9223" s="199"/>
    </row>
    <row r="9224" spans="9:10" x14ac:dyDescent="0.25">
      <c r="I9224" s="199"/>
      <c r="J9224" s="199"/>
    </row>
    <row r="9225" spans="9:10" x14ac:dyDescent="0.25">
      <c r="I9225" s="199"/>
      <c r="J9225" s="199"/>
    </row>
    <row r="9226" spans="9:10" x14ac:dyDescent="0.25">
      <c r="I9226" s="199"/>
      <c r="J9226" s="199"/>
    </row>
    <row r="9227" spans="9:10" x14ac:dyDescent="0.25">
      <c r="I9227" s="199"/>
      <c r="J9227" s="199"/>
    </row>
    <row r="9228" spans="9:10" x14ac:dyDescent="0.25">
      <c r="I9228" s="199"/>
      <c r="J9228" s="199"/>
    </row>
    <row r="9229" spans="9:10" x14ac:dyDescent="0.25">
      <c r="I9229" s="199"/>
      <c r="J9229" s="199"/>
    </row>
    <row r="9230" spans="9:10" x14ac:dyDescent="0.25">
      <c r="I9230" s="199"/>
      <c r="J9230" s="199"/>
    </row>
    <row r="9231" spans="9:10" x14ac:dyDescent="0.25">
      <c r="I9231" s="199"/>
      <c r="J9231" s="199"/>
    </row>
    <row r="9232" spans="9:10" x14ac:dyDescent="0.25">
      <c r="I9232" s="199"/>
      <c r="J9232" s="199"/>
    </row>
    <row r="9233" spans="9:10" x14ac:dyDescent="0.25">
      <c r="I9233" s="199"/>
      <c r="J9233" s="199"/>
    </row>
    <row r="9234" spans="9:10" x14ac:dyDescent="0.25">
      <c r="I9234" s="199"/>
      <c r="J9234" s="199"/>
    </row>
    <row r="9235" spans="9:10" x14ac:dyDescent="0.25">
      <c r="I9235" s="199"/>
      <c r="J9235" s="199"/>
    </row>
    <row r="9236" spans="9:10" x14ac:dyDescent="0.25">
      <c r="I9236" s="199"/>
      <c r="J9236" s="199"/>
    </row>
    <row r="9237" spans="9:10" x14ac:dyDescent="0.25">
      <c r="I9237" s="199"/>
      <c r="J9237" s="199"/>
    </row>
    <row r="9238" spans="9:10" x14ac:dyDescent="0.25">
      <c r="I9238" s="199"/>
      <c r="J9238" s="199"/>
    </row>
    <row r="9239" spans="9:10" x14ac:dyDescent="0.25">
      <c r="I9239" s="199"/>
      <c r="J9239" s="199"/>
    </row>
    <row r="9240" spans="9:10" x14ac:dyDescent="0.25">
      <c r="I9240" s="199"/>
      <c r="J9240" s="199"/>
    </row>
    <row r="9241" spans="9:10" x14ac:dyDescent="0.25">
      <c r="I9241" s="199"/>
      <c r="J9241" s="199"/>
    </row>
    <row r="9242" spans="9:10" x14ac:dyDescent="0.25">
      <c r="I9242" s="199"/>
      <c r="J9242" s="199"/>
    </row>
    <row r="9243" spans="9:10" x14ac:dyDescent="0.25">
      <c r="I9243" s="199"/>
      <c r="J9243" s="199"/>
    </row>
    <row r="9244" spans="9:10" x14ac:dyDescent="0.25">
      <c r="I9244" s="199"/>
      <c r="J9244" s="199"/>
    </row>
    <row r="9245" spans="9:10" x14ac:dyDescent="0.25">
      <c r="I9245" s="199"/>
      <c r="J9245" s="199"/>
    </row>
    <row r="9246" spans="9:10" x14ac:dyDescent="0.25">
      <c r="I9246" s="199"/>
      <c r="J9246" s="199"/>
    </row>
    <row r="9247" spans="9:10" x14ac:dyDescent="0.25">
      <c r="I9247" s="199"/>
      <c r="J9247" s="199"/>
    </row>
    <row r="9248" spans="9:10" x14ac:dyDescent="0.25">
      <c r="I9248" s="199"/>
      <c r="J9248" s="199"/>
    </row>
    <row r="9249" spans="9:10" x14ac:dyDescent="0.25">
      <c r="I9249" s="199"/>
      <c r="J9249" s="199"/>
    </row>
    <row r="9250" spans="9:10" x14ac:dyDescent="0.25">
      <c r="I9250" s="199"/>
      <c r="J9250" s="199"/>
    </row>
    <row r="9251" spans="9:10" x14ac:dyDescent="0.25">
      <c r="I9251" s="199"/>
      <c r="J9251" s="199"/>
    </row>
    <row r="9252" spans="9:10" x14ac:dyDescent="0.25">
      <c r="I9252" s="199"/>
      <c r="J9252" s="199"/>
    </row>
    <row r="9253" spans="9:10" x14ac:dyDescent="0.25">
      <c r="I9253" s="199"/>
      <c r="J9253" s="199"/>
    </row>
    <row r="9254" spans="9:10" x14ac:dyDescent="0.25">
      <c r="I9254" s="199"/>
      <c r="J9254" s="199"/>
    </row>
    <row r="9255" spans="9:10" x14ac:dyDescent="0.25">
      <c r="I9255" s="199"/>
      <c r="J9255" s="199"/>
    </row>
    <row r="9256" spans="9:10" x14ac:dyDescent="0.25">
      <c r="I9256" s="199"/>
      <c r="J9256" s="199"/>
    </row>
    <row r="9257" spans="9:10" x14ac:dyDescent="0.25">
      <c r="I9257" s="199"/>
      <c r="J9257" s="199"/>
    </row>
    <row r="9258" spans="9:10" x14ac:dyDescent="0.25">
      <c r="I9258" s="199"/>
      <c r="J9258" s="199"/>
    </row>
    <row r="9259" spans="9:10" x14ac:dyDescent="0.25">
      <c r="I9259" s="199"/>
      <c r="J9259" s="199"/>
    </row>
    <row r="9260" spans="9:10" x14ac:dyDescent="0.25">
      <c r="I9260" s="199"/>
      <c r="J9260" s="199"/>
    </row>
    <row r="9261" spans="9:10" x14ac:dyDescent="0.25">
      <c r="I9261" s="199"/>
      <c r="J9261" s="199"/>
    </row>
    <row r="9262" spans="9:10" x14ac:dyDescent="0.25">
      <c r="I9262" s="199"/>
      <c r="J9262" s="199"/>
    </row>
    <row r="9263" spans="9:10" x14ac:dyDescent="0.25">
      <c r="I9263" s="199"/>
      <c r="J9263" s="199"/>
    </row>
    <row r="9264" spans="9:10" x14ac:dyDescent="0.25">
      <c r="I9264" s="199"/>
      <c r="J9264" s="199"/>
    </row>
    <row r="9265" spans="9:10" x14ac:dyDescent="0.25">
      <c r="I9265" s="199"/>
      <c r="J9265" s="199"/>
    </row>
    <row r="9266" spans="9:10" x14ac:dyDescent="0.25">
      <c r="I9266" s="199"/>
      <c r="J9266" s="199"/>
    </row>
    <row r="9267" spans="9:10" x14ac:dyDescent="0.25">
      <c r="I9267" s="199"/>
      <c r="J9267" s="199"/>
    </row>
    <row r="9268" spans="9:10" x14ac:dyDescent="0.25">
      <c r="I9268" s="199"/>
      <c r="J9268" s="199"/>
    </row>
    <row r="9269" spans="9:10" x14ac:dyDescent="0.25">
      <c r="I9269" s="199"/>
      <c r="J9269" s="199"/>
    </row>
    <row r="9270" spans="9:10" x14ac:dyDescent="0.25">
      <c r="I9270" s="199"/>
      <c r="J9270" s="199"/>
    </row>
    <row r="9271" spans="9:10" x14ac:dyDescent="0.25">
      <c r="I9271" s="199"/>
      <c r="J9271" s="199"/>
    </row>
    <row r="9272" spans="9:10" x14ac:dyDescent="0.25">
      <c r="I9272" s="199"/>
      <c r="J9272" s="199"/>
    </row>
    <row r="9273" spans="9:10" x14ac:dyDescent="0.25">
      <c r="I9273" s="199"/>
      <c r="J9273" s="199"/>
    </row>
    <row r="9274" spans="9:10" x14ac:dyDescent="0.25">
      <c r="I9274" s="199"/>
      <c r="J9274" s="199"/>
    </row>
    <row r="9275" spans="9:10" x14ac:dyDescent="0.25">
      <c r="I9275" s="199"/>
      <c r="J9275" s="199"/>
    </row>
    <row r="9276" spans="9:10" x14ac:dyDescent="0.25">
      <c r="I9276" s="199"/>
      <c r="J9276" s="199"/>
    </row>
    <row r="9277" spans="9:10" x14ac:dyDescent="0.25">
      <c r="I9277" s="199"/>
      <c r="J9277" s="199"/>
    </row>
    <row r="9278" spans="9:10" x14ac:dyDescent="0.25">
      <c r="I9278" s="199"/>
      <c r="J9278" s="199"/>
    </row>
    <row r="9279" spans="9:10" x14ac:dyDescent="0.25">
      <c r="I9279" s="199"/>
      <c r="J9279" s="199"/>
    </row>
    <row r="9280" spans="9:10" x14ac:dyDescent="0.25">
      <c r="I9280" s="199"/>
      <c r="J9280" s="199"/>
    </row>
    <row r="9281" spans="9:10" x14ac:dyDescent="0.25">
      <c r="I9281" s="199"/>
      <c r="J9281" s="199"/>
    </row>
    <row r="9282" spans="9:10" x14ac:dyDescent="0.25">
      <c r="I9282" s="199"/>
      <c r="J9282" s="199"/>
    </row>
    <row r="9283" spans="9:10" x14ac:dyDescent="0.25">
      <c r="I9283" s="199"/>
      <c r="J9283" s="199"/>
    </row>
    <row r="9284" spans="9:10" x14ac:dyDescent="0.25">
      <c r="I9284" s="199"/>
      <c r="J9284" s="199"/>
    </row>
    <row r="9285" spans="9:10" x14ac:dyDescent="0.25">
      <c r="I9285" s="199"/>
      <c r="J9285" s="199"/>
    </row>
    <row r="9286" spans="9:10" x14ac:dyDescent="0.25">
      <c r="I9286" s="199"/>
      <c r="J9286" s="199"/>
    </row>
    <row r="9287" spans="9:10" x14ac:dyDescent="0.25">
      <c r="I9287" s="199"/>
      <c r="J9287" s="199"/>
    </row>
    <row r="9288" spans="9:10" x14ac:dyDescent="0.25">
      <c r="I9288" s="199"/>
      <c r="J9288" s="199"/>
    </row>
    <row r="9289" spans="9:10" x14ac:dyDescent="0.25">
      <c r="I9289" s="199"/>
      <c r="J9289" s="199"/>
    </row>
    <row r="9290" spans="9:10" x14ac:dyDescent="0.25">
      <c r="I9290" s="199"/>
      <c r="J9290" s="199"/>
    </row>
    <row r="9291" spans="9:10" x14ac:dyDescent="0.25">
      <c r="I9291" s="199"/>
      <c r="J9291" s="199"/>
    </row>
    <row r="9292" spans="9:10" x14ac:dyDescent="0.25">
      <c r="I9292" s="199"/>
      <c r="J9292" s="199"/>
    </row>
    <row r="9293" spans="9:10" x14ac:dyDescent="0.25">
      <c r="I9293" s="199"/>
      <c r="J9293" s="199"/>
    </row>
    <row r="9294" spans="9:10" x14ac:dyDescent="0.25">
      <c r="I9294" s="199"/>
      <c r="J9294" s="199"/>
    </row>
    <row r="9295" spans="9:10" x14ac:dyDescent="0.25">
      <c r="I9295" s="199"/>
      <c r="J9295" s="199"/>
    </row>
    <row r="9296" spans="9:10" x14ac:dyDescent="0.25">
      <c r="I9296" s="199"/>
      <c r="J9296" s="199"/>
    </row>
    <row r="9297" spans="9:10" x14ac:dyDescent="0.25">
      <c r="I9297" s="199"/>
      <c r="J9297" s="199"/>
    </row>
    <row r="9298" spans="9:10" x14ac:dyDescent="0.25">
      <c r="I9298" s="199"/>
      <c r="J9298" s="199"/>
    </row>
    <row r="9299" spans="9:10" x14ac:dyDescent="0.25">
      <c r="I9299" s="199"/>
      <c r="J9299" s="199"/>
    </row>
    <row r="9300" spans="9:10" x14ac:dyDescent="0.25">
      <c r="I9300" s="199"/>
      <c r="J9300" s="199"/>
    </row>
    <row r="9301" spans="9:10" x14ac:dyDescent="0.25">
      <c r="I9301" s="199"/>
      <c r="J9301" s="199"/>
    </row>
    <row r="9302" spans="9:10" x14ac:dyDescent="0.25">
      <c r="I9302" s="199"/>
      <c r="J9302" s="199"/>
    </row>
    <row r="9303" spans="9:10" x14ac:dyDescent="0.25">
      <c r="I9303" s="199"/>
      <c r="J9303" s="199"/>
    </row>
    <row r="9304" spans="9:10" x14ac:dyDescent="0.25">
      <c r="I9304" s="199"/>
      <c r="J9304" s="199"/>
    </row>
    <row r="9305" spans="9:10" x14ac:dyDescent="0.25">
      <c r="I9305" s="199"/>
      <c r="J9305" s="199"/>
    </row>
    <row r="9306" spans="9:10" x14ac:dyDescent="0.25">
      <c r="I9306" s="199"/>
      <c r="J9306" s="199"/>
    </row>
    <row r="9307" spans="9:10" x14ac:dyDescent="0.25">
      <c r="I9307" s="199"/>
      <c r="J9307" s="199"/>
    </row>
    <row r="9308" spans="9:10" x14ac:dyDescent="0.25">
      <c r="I9308" s="199"/>
      <c r="J9308" s="199"/>
    </row>
    <row r="9309" spans="9:10" x14ac:dyDescent="0.25">
      <c r="I9309" s="199"/>
      <c r="J9309" s="199"/>
    </row>
    <row r="9310" spans="9:10" x14ac:dyDescent="0.25">
      <c r="I9310" s="199"/>
      <c r="J9310" s="199"/>
    </row>
    <row r="9311" spans="9:10" x14ac:dyDescent="0.25">
      <c r="I9311" s="199"/>
      <c r="J9311" s="199"/>
    </row>
    <row r="9312" spans="9:10" x14ac:dyDescent="0.25">
      <c r="I9312" s="199"/>
      <c r="J9312" s="199"/>
    </row>
    <row r="9313" spans="9:10" x14ac:dyDescent="0.25">
      <c r="I9313" s="199"/>
      <c r="J9313" s="199"/>
    </row>
    <row r="9314" spans="9:10" x14ac:dyDescent="0.25">
      <c r="I9314" s="199"/>
      <c r="J9314" s="199"/>
    </row>
    <row r="9315" spans="9:10" x14ac:dyDescent="0.25">
      <c r="I9315" s="199"/>
      <c r="J9315" s="199"/>
    </row>
    <row r="9316" spans="9:10" x14ac:dyDescent="0.25">
      <c r="I9316" s="199"/>
      <c r="J9316" s="199"/>
    </row>
    <row r="9317" spans="9:10" x14ac:dyDescent="0.25">
      <c r="I9317" s="199"/>
      <c r="J9317" s="199"/>
    </row>
    <row r="9318" spans="9:10" x14ac:dyDescent="0.25">
      <c r="I9318" s="199"/>
      <c r="J9318" s="199"/>
    </row>
    <row r="9319" spans="9:10" x14ac:dyDescent="0.25">
      <c r="I9319" s="199"/>
      <c r="J9319" s="199"/>
    </row>
    <row r="9320" spans="9:10" x14ac:dyDescent="0.25">
      <c r="I9320" s="199"/>
      <c r="J9320" s="199"/>
    </row>
    <row r="9321" spans="9:10" x14ac:dyDescent="0.25">
      <c r="I9321" s="199"/>
      <c r="J9321" s="199"/>
    </row>
    <row r="9322" spans="9:10" x14ac:dyDescent="0.25">
      <c r="I9322" s="199"/>
      <c r="J9322" s="199"/>
    </row>
    <row r="9323" spans="9:10" x14ac:dyDescent="0.25">
      <c r="I9323" s="199"/>
      <c r="J9323" s="199"/>
    </row>
    <row r="9324" spans="9:10" x14ac:dyDescent="0.25">
      <c r="I9324" s="199"/>
      <c r="J9324" s="199"/>
    </row>
    <row r="9325" spans="9:10" x14ac:dyDescent="0.25">
      <c r="I9325" s="199"/>
      <c r="J9325" s="199"/>
    </row>
    <row r="9326" spans="9:10" x14ac:dyDescent="0.25">
      <c r="I9326" s="199"/>
      <c r="J9326" s="199"/>
    </row>
    <row r="9327" spans="9:10" x14ac:dyDescent="0.25">
      <c r="I9327" s="199"/>
      <c r="J9327" s="199"/>
    </row>
    <row r="9328" spans="9:10" x14ac:dyDescent="0.25">
      <c r="I9328" s="199"/>
      <c r="J9328" s="199"/>
    </row>
    <row r="9329" spans="9:10" x14ac:dyDescent="0.25">
      <c r="I9329" s="199"/>
      <c r="J9329" s="199"/>
    </row>
    <row r="9330" spans="9:10" x14ac:dyDescent="0.25">
      <c r="I9330" s="199"/>
      <c r="J9330" s="199"/>
    </row>
    <row r="9331" spans="9:10" x14ac:dyDescent="0.25">
      <c r="I9331" s="199"/>
      <c r="J9331" s="199"/>
    </row>
    <row r="9332" spans="9:10" x14ac:dyDescent="0.25">
      <c r="I9332" s="199"/>
      <c r="J9332" s="199"/>
    </row>
    <row r="9333" spans="9:10" x14ac:dyDescent="0.25">
      <c r="I9333" s="199"/>
      <c r="J9333" s="199"/>
    </row>
    <row r="9334" spans="9:10" x14ac:dyDescent="0.25">
      <c r="I9334" s="199"/>
      <c r="J9334" s="199"/>
    </row>
    <row r="9335" spans="9:10" x14ac:dyDescent="0.25">
      <c r="I9335" s="199"/>
      <c r="J9335" s="199"/>
    </row>
    <row r="9336" spans="9:10" x14ac:dyDescent="0.25">
      <c r="I9336" s="199"/>
      <c r="J9336" s="199"/>
    </row>
    <row r="9337" spans="9:10" x14ac:dyDescent="0.25">
      <c r="I9337" s="199"/>
      <c r="J9337" s="199"/>
    </row>
    <row r="9338" spans="9:10" x14ac:dyDescent="0.25">
      <c r="I9338" s="199"/>
      <c r="J9338" s="199"/>
    </row>
    <row r="9339" spans="9:10" x14ac:dyDescent="0.25">
      <c r="I9339" s="199"/>
      <c r="J9339" s="199"/>
    </row>
    <row r="9340" spans="9:10" x14ac:dyDescent="0.25">
      <c r="I9340" s="199"/>
      <c r="J9340" s="199"/>
    </row>
    <row r="9341" spans="9:10" x14ac:dyDescent="0.25">
      <c r="I9341" s="199"/>
      <c r="J9341" s="199"/>
    </row>
    <row r="9342" spans="9:10" x14ac:dyDescent="0.25">
      <c r="I9342" s="199"/>
      <c r="J9342" s="199"/>
    </row>
    <row r="9343" spans="9:10" x14ac:dyDescent="0.25">
      <c r="I9343" s="199"/>
      <c r="J9343" s="199"/>
    </row>
    <row r="9344" spans="9:10" x14ac:dyDescent="0.25">
      <c r="I9344" s="199"/>
      <c r="J9344" s="199"/>
    </row>
    <row r="9345" spans="9:10" x14ac:dyDescent="0.25">
      <c r="I9345" s="199"/>
      <c r="J9345" s="199"/>
    </row>
    <row r="9346" spans="9:10" x14ac:dyDescent="0.25">
      <c r="I9346" s="199"/>
      <c r="J9346" s="199"/>
    </row>
    <row r="9347" spans="9:10" x14ac:dyDescent="0.25">
      <c r="I9347" s="199"/>
      <c r="J9347" s="199"/>
    </row>
    <row r="9348" spans="9:10" x14ac:dyDescent="0.25">
      <c r="I9348" s="199"/>
      <c r="J9348" s="199"/>
    </row>
    <row r="9349" spans="9:10" x14ac:dyDescent="0.25">
      <c r="I9349" s="199"/>
      <c r="J9349" s="199"/>
    </row>
    <row r="9350" spans="9:10" x14ac:dyDescent="0.25">
      <c r="I9350" s="199"/>
      <c r="J9350" s="199"/>
    </row>
    <row r="9351" spans="9:10" x14ac:dyDescent="0.25">
      <c r="I9351" s="199"/>
      <c r="J9351" s="199"/>
    </row>
    <row r="9352" spans="9:10" x14ac:dyDescent="0.25">
      <c r="I9352" s="199"/>
      <c r="J9352" s="199"/>
    </row>
    <row r="9353" spans="9:10" x14ac:dyDescent="0.25">
      <c r="I9353" s="199"/>
      <c r="J9353" s="199"/>
    </row>
    <row r="9354" spans="9:10" x14ac:dyDescent="0.25">
      <c r="I9354" s="199"/>
      <c r="J9354" s="199"/>
    </row>
    <row r="9355" spans="9:10" x14ac:dyDescent="0.25">
      <c r="I9355" s="199"/>
      <c r="J9355" s="199"/>
    </row>
    <row r="9356" spans="9:10" x14ac:dyDescent="0.25">
      <c r="I9356" s="199"/>
      <c r="J9356" s="199"/>
    </row>
    <row r="9357" spans="9:10" x14ac:dyDescent="0.25">
      <c r="I9357" s="199"/>
      <c r="J9357" s="199"/>
    </row>
    <row r="9358" spans="9:10" x14ac:dyDescent="0.25">
      <c r="I9358" s="199"/>
      <c r="J9358" s="199"/>
    </row>
    <row r="9359" spans="9:10" x14ac:dyDescent="0.25">
      <c r="I9359" s="199"/>
      <c r="J9359" s="199"/>
    </row>
    <row r="9360" spans="9:10" x14ac:dyDescent="0.25">
      <c r="I9360" s="199"/>
      <c r="J9360" s="199"/>
    </row>
    <row r="9361" spans="9:10" x14ac:dyDescent="0.25">
      <c r="I9361" s="199"/>
      <c r="J9361" s="199"/>
    </row>
    <row r="9362" spans="9:10" x14ac:dyDescent="0.25">
      <c r="I9362" s="199"/>
      <c r="J9362" s="199"/>
    </row>
    <row r="9363" spans="9:10" x14ac:dyDescent="0.25">
      <c r="I9363" s="199"/>
      <c r="J9363" s="199"/>
    </row>
    <row r="9364" spans="9:10" x14ac:dyDescent="0.25">
      <c r="I9364" s="199"/>
      <c r="J9364" s="199"/>
    </row>
    <row r="9365" spans="9:10" x14ac:dyDescent="0.25">
      <c r="I9365" s="199"/>
      <c r="J9365" s="199"/>
    </row>
    <row r="9366" spans="9:10" x14ac:dyDescent="0.25">
      <c r="I9366" s="199"/>
      <c r="J9366" s="199"/>
    </row>
    <row r="9367" spans="9:10" x14ac:dyDescent="0.25">
      <c r="I9367" s="199"/>
      <c r="J9367" s="199"/>
    </row>
    <row r="9368" spans="9:10" x14ac:dyDescent="0.25">
      <c r="I9368" s="199"/>
      <c r="J9368" s="199"/>
    </row>
    <row r="9369" spans="9:10" x14ac:dyDescent="0.25">
      <c r="I9369" s="199"/>
      <c r="J9369" s="199"/>
    </row>
    <row r="9370" spans="9:10" x14ac:dyDescent="0.25">
      <c r="I9370" s="199"/>
      <c r="J9370" s="199"/>
    </row>
    <row r="9371" spans="9:10" x14ac:dyDescent="0.25">
      <c r="I9371" s="199"/>
      <c r="J9371" s="199"/>
    </row>
    <row r="9372" spans="9:10" x14ac:dyDescent="0.25">
      <c r="I9372" s="199"/>
      <c r="J9372" s="199"/>
    </row>
    <row r="9373" spans="9:10" x14ac:dyDescent="0.25">
      <c r="I9373" s="199"/>
      <c r="J9373" s="199"/>
    </row>
    <row r="9374" spans="9:10" x14ac:dyDescent="0.25">
      <c r="I9374" s="199"/>
      <c r="J9374" s="199"/>
    </row>
    <row r="9375" spans="9:10" x14ac:dyDescent="0.25">
      <c r="I9375" s="199"/>
      <c r="J9375" s="199"/>
    </row>
    <row r="9376" spans="9:10" x14ac:dyDescent="0.25">
      <c r="I9376" s="199"/>
      <c r="J9376" s="199"/>
    </row>
    <row r="9377" spans="9:10" x14ac:dyDescent="0.25">
      <c r="I9377" s="199"/>
      <c r="J9377" s="199"/>
    </row>
    <row r="9378" spans="9:10" x14ac:dyDescent="0.25">
      <c r="I9378" s="199"/>
      <c r="J9378" s="199"/>
    </row>
    <row r="9379" spans="9:10" x14ac:dyDescent="0.25">
      <c r="I9379" s="199"/>
      <c r="J9379" s="199"/>
    </row>
    <row r="9380" spans="9:10" x14ac:dyDescent="0.25">
      <c r="I9380" s="199"/>
      <c r="J9380" s="199"/>
    </row>
    <row r="9381" spans="9:10" x14ac:dyDescent="0.25">
      <c r="I9381" s="199"/>
      <c r="J9381" s="199"/>
    </row>
    <row r="9382" spans="9:10" x14ac:dyDescent="0.25">
      <c r="I9382" s="199"/>
      <c r="J9382" s="199"/>
    </row>
    <row r="9383" spans="9:10" x14ac:dyDescent="0.25">
      <c r="I9383" s="199"/>
      <c r="J9383" s="199"/>
    </row>
    <row r="9384" spans="9:10" x14ac:dyDescent="0.25">
      <c r="I9384" s="199"/>
      <c r="J9384" s="199"/>
    </row>
    <row r="9385" spans="9:10" x14ac:dyDescent="0.25">
      <c r="I9385" s="199"/>
      <c r="J9385" s="199"/>
    </row>
    <row r="9386" spans="9:10" x14ac:dyDescent="0.25">
      <c r="I9386" s="199"/>
      <c r="J9386" s="199"/>
    </row>
    <row r="9387" spans="9:10" x14ac:dyDescent="0.25">
      <c r="I9387" s="199"/>
      <c r="J9387" s="199"/>
    </row>
    <row r="9388" spans="9:10" x14ac:dyDescent="0.25">
      <c r="I9388" s="199"/>
      <c r="J9388" s="199"/>
    </row>
    <row r="9389" spans="9:10" x14ac:dyDescent="0.25">
      <c r="I9389" s="199"/>
      <c r="J9389" s="199"/>
    </row>
    <row r="9390" spans="9:10" x14ac:dyDescent="0.25">
      <c r="I9390" s="199"/>
      <c r="J9390" s="199"/>
    </row>
    <row r="9391" spans="9:10" x14ac:dyDescent="0.25">
      <c r="I9391" s="199"/>
      <c r="J9391" s="199"/>
    </row>
    <row r="9392" spans="9:10" x14ac:dyDescent="0.25">
      <c r="I9392" s="199"/>
      <c r="J9392" s="199"/>
    </row>
    <row r="9393" spans="9:10" x14ac:dyDescent="0.25">
      <c r="I9393" s="199"/>
      <c r="J9393" s="199"/>
    </row>
    <row r="9394" spans="9:10" x14ac:dyDescent="0.25">
      <c r="I9394" s="199"/>
      <c r="J9394" s="199"/>
    </row>
    <row r="9395" spans="9:10" x14ac:dyDescent="0.25">
      <c r="I9395" s="199"/>
      <c r="J9395" s="199"/>
    </row>
    <row r="9396" spans="9:10" x14ac:dyDescent="0.25">
      <c r="I9396" s="199"/>
      <c r="J9396" s="199"/>
    </row>
    <row r="9397" spans="9:10" x14ac:dyDescent="0.25">
      <c r="I9397" s="199"/>
      <c r="J9397" s="199"/>
    </row>
    <row r="9398" spans="9:10" x14ac:dyDescent="0.25">
      <c r="I9398" s="199"/>
      <c r="J9398" s="199"/>
    </row>
    <row r="9399" spans="9:10" x14ac:dyDescent="0.25">
      <c r="I9399" s="199"/>
      <c r="J9399" s="199"/>
    </row>
    <row r="9400" spans="9:10" x14ac:dyDescent="0.25">
      <c r="I9400" s="199"/>
      <c r="J9400" s="199"/>
    </row>
    <row r="9401" spans="9:10" x14ac:dyDescent="0.25">
      <c r="I9401" s="199"/>
      <c r="J9401" s="199"/>
    </row>
    <row r="9402" spans="9:10" x14ac:dyDescent="0.25">
      <c r="I9402" s="199"/>
      <c r="J9402" s="199"/>
    </row>
    <row r="9403" spans="9:10" x14ac:dyDescent="0.25">
      <c r="I9403" s="199"/>
      <c r="J9403" s="199"/>
    </row>
    <row r="9404" spans="9:10" x14ac:dyDescent="0.25">
      <c r="I9404" s="199"/>
      <c r="J9404" s="199"/>
    </row>
    <row r="9405" spans="9:10" x14ac:dyDescent="0.25">
      <c r="I9405" s="199"/>
      <c r="J9405" s="199"/>
    </row>
    <row r="9406" spans="9:10" x14ac:dyDescent="0.25">
      <c r="I9406" s="199"/>
      <c r="J9406" s="199"/>
    </row>
    <row r="9407" spans="9:10" x14ac:dyDescent="0.25">
      <c r="I9407" s="199"/>
      <c r="J9407" s="199"/>
    </row>
    <row r="9408" spans="9:10" x14ac:dyDescent="0.25">
      <c r="I9408" s="199"/>
      <c r="J9408" s="199"/>
    </row>
    <row r="9409" spans="9:10" x14ac:dyDescent="0.25">
      <c r="I9409" s="199"/>
      <c r="J9409" s="199"/>
    </row>
    <row r="9410" spans="9:10" x14ac:dyDescent="0.25">
      <c r="I9410" s="199"/>
      <c r="J9410" s="199"/>
    </row>
    <row r="9411" spans="9:10" x14ac:dyDescent="0.25">
      <c r="I9411" s="199"/>
      <c r="J9411" s="199"/>
    </row>
    <row r="9412" spans="9:10" x14ac:dyDescent="0.25">
      <c r="I9412" s="199"/>
      <c r="J9412" s="199"/>
    </row>
    <row r="9413" spans="9:10" x14ac:dyDescent="0.25">
      <c r="I9413" s="199"/>
      <c r="J9413" s="199"/>
    </row>
    <row r="9414" spans="9:10" x14ac:dyDescent="0.25">
      <c r="I9414" s="199"/>
      <c r="J9414" s="199"/>
    </row>
    <row r="9415" spans="9:10" x14ac:dyDescent="0.25">
      <c r="I9415" s="199"/>
      <c r="J9415" s="199"/>
    </row>
    <row r="9416" spans="9:10" x14ac:dyDescent="0.25">
      <c r="I9416" s="199"/>
      <c r="J9416" s="199"/>
    </row>
    <row r="9417" spans="9:10" x14ac:dyDescent="0.25">
      <c r="I9417" s="199"/>
      <c r="J9417" s="199"/>
    </row>
    <row r="9418" spans="9:10" x14ac:dyDescent="0.25">
      <c r="I9418" s="199"/>
      <c r="J9418" s="199"/>
    </row>
    <row r="9419" spans="9:10" x14ac:dyDescent="0.25">
      <c r="I9419" s="199"/>
      <c r="J9419" s="199"/>
    </row>
    <row r="9420" spans="9:10" x14ac:dyDescent="0.25">
      <c r="I9420" s="199"/>
      <c r="J9420" s="199"/>
    </row>
    <row r="9421" spans="9:10" x14ac:dyDescent="0.25">
      <c r="I9421" s="199"/>
      <c r="J9421" s="199"/>
    </row>
    <row r="9422" spans="9:10" x14ac:dyDescent="0.25">
      <c r="I9422" s="199"/>
      <c r="J9422" s="199"/>
    </row>
    <row r="9423" spans="9:10" x14ac:dyDescent="0.25">
      <c r="I9423" s="199"/>
      <c r="J9423" s="199"/>
    </row>
    <row r="9424" spans="9:10" x14ac:dyDescent="0.25">
      <c r="I9424" s="199"/>
      <c r="J9424" s="199"/>
    </row>
    <row r="9425" spans="9:10" x14ac:dyDescent="0.25">
      <c r="I9425" s="199"/>
      <c r="J9425" s="199"/>
    </row>
    <row r="9426" spans="9:10" x14ac:dyDescent="0.25">
      <c r="I9426" s="199"/>
      <c r="J9426" s="199"/>
    </row>
    <row r="9427" spans="9:10" x14ac:dyDescent="0.25">
      <c r="I9427" s="199"/>
      <c r="J9427" s="199"/>
    </row>
    <row r="9428" spans="9:10" x14ac:dyDescent="0.25">
      <c r="I9428" s="199"/>
      <c r="J9428" s="199"/>
    </row>
    <row r="9429" spans="9:10" x14ac:dyDescent="0.25">
      <c r="I9429" s="199"/>
      <c r="J9429" s="199"/>
    </row>
    <row r="9430" spans="9:10" x14ac:dyDescent="0.25">
      <c r="I9430" s="199"/>
      <c r="J9430" s="199"/>
    </row>
    <row r="9431" spans="9:10" x14ac:dyDescent="0.25">
      <c r="I9431" s="199"/>
      <c r="J9431" s="199"/>
    </row>
    <row r="9432" spans="9:10" x14ac:dyDescent="0.25">
      <c r="I9432" s="199"/>
      <c r="J9432" s="199"/>
    </row>
    <row r="9433" spans="9:10" x14ac:dyDescent="0.25">
      <c r="I9433" s="199"/>
      <c r="J9433" s="199"/>
    </row>
    <row r="9434" spans="9:10" x14ac:dyDescent="0.25">
      <c r="I9434" s="199"/>
      <c r="J9434" s="199"/>
    </row>
    <row r="9435" spans="9:10" x14ac:dyDescent="0.25">
      <c r="I9435" s="199"/>
      <c r="J9435" s="199"/>
    </row>
    <row r="9436" spans="9:10" x14ac:dyDescent="0.25">
      <c r="I9436" s="199"/>
      <c r="J9436" s="199"/>
    </row>
    <row r="9437" spans="9:10" x14ac:dyDescent="0.25">
      <c r="I9437" s="199"/>
      <c r="J9437" s="199"/>
    </row>
    <row r="9438" spans="9:10" x14ac:dyDescent="0.25">
      <c r="I9438" s="199"/>
      <c r="J9438" s="199"/>
    </row>
    <row r="9439" spans="9:10" x14ac:dyDescent="0.25">
      <c r="I9439" s="199"/>
      <c r="J9439" s="199"/>
    </row>
    <row r="9440" spans="9:10" x14ac:dyDescent="0.25">
      <c r="I9440" s="199"/>
      <c r="J9440" s="199"/>
    </row>
    <row r="9441" spans="9:10" x14ac:dyDescent="0.25">
      <c r="I9441" s="199"/>
      <c r="J9441" s="199"/>
    </row>
    <row r="9442" spans="9:10" x14ac:dyDescent="0.25">
      <c r="I9442" s="199"/>
      <c r="J9442" s="199"/>
    </row>
    <row r="9443" spans="9:10" x14ac:dyDescent="0.25">
      <c r="I9443" s="199"/>
      <c r="J9443" s="199"/>
    </row>
    <row r="9444" spans="9:10" x14ac:dyDescent="0.25">
      <c r="I9444" s="199"/>
      <c r="J9444" s="199"/>
    </row>
    <row r="9445" spans="9:10" x14ac:dyDescent="0.25">
      <c r="I9445" s="199"/>
      <c r="J9445" s="199"/>
    </row>
    <row r="9446" spans="9:10" x14ac:dyDescent="0.25">
      <c r="I9446" s="199"/>
      <c r="J9446" s="199"/>
    </row>
    <row r="9447" spans="9:10" x14ac:dyDescent="0.25">
      <c r="I9447" s="199"/>
      <c r="J9447" s="199"/>
    </row>
    <row r="9448" spans="9:10" x14ac:dyDescent="0.25">
      <c r="I9448" s="199"/>
      <c r="J9448" s="199"/>
    </row>
    <row r="9449" spans="9:10" x14ac:dyDescent="0.25">
      <c r="I9449" s="199"/>
      <c r="J9449" s="199"/>
    </row>
    <row r="9450" spans="9:10" x14ac:dyDescent="0.25">
      <c r="I9450" s="199"/>
      <c r="J9450" s="199"/>
    </row>
    <row r="9451" spans="9:10" x14ac:dyDescent="0.25">
      <c r="I9451" s="199"/>
      <c r="J9451" s="199"/>
    </row>
    <row r="9452" spans="9:10" x14ac:dyDescent="0.25">
      <c r="I9452" s="199"/>
      <c r="J9452" s="199"/>
    </row>
    <row r="9453" spans="9:10" x14ac:dyDescent="0.25">
      <c r="I9453" s="199"/>
      <c r="J9453" s="199"/>
    </row>
    <row r="9454" spans="9:10" x14ac:dyDescent="0.25">
      <c r="I9454" s="199"/>
      <c r="J9454" s="199"/>
    </row>
    <row r="9455" spans="9:10" x14ac:dyDescent="0.25">
      <c r="I9455" s="199"/>
      <c r="J9455" s="199"/>
    </row>
    <row r="9456" spans="9:10" x14ac:dyDescent="0.25">
      <c r="I9456" s="199"/>
      <c r="J9456" s="199"/>
    </row>
    <row r="9457" spans="9:10" x14ac:dyDescent="0.25">
      <c r="I9457" s="199"/>
      <c r="J9457" s="199"/>
    </row>
    <row r="9458" spans="9:10" x14ac:dyDescent="0.25">
      <c r="I9458" s="199"/>
      <c r="J9458" s="199"/>
    </row>
    <row r="9459" spans="9:10" x14ac:dyDescent="0.25">
      <c r="I9459" s="199"/>
      <c r="J9459" s="199"/>
    </row>
    <row r="9460" spans="9:10" x14ac:dyDescent="0.25">
      <c r="I9460" s="199"/>
      <c r="J9460" s="199"/>
    </row>
    <row r="9461" spans="9:10" x14ac:dyDescent="0.25">
      <c r="I9461" s="199"/>
      <c r="J9461" s="199"/>
    </row>
    <row r="9462" spans="9:10" x14ac:dyDescent="0.25">
      <c r="I9462" s="199"/>
      <c r="J9462" s="199"/>
    </row>
    <row r="9463" spans="9:10" x14ac:dyDescent="0.25">
      <c r="I9463" s="199"/>
      <c r="J9463" s="199"/>
    </row>
    <row r="9464" spans="9:10" x14ac:dyDescent="0.25">
      <c r="I9464" s="199"/>
      <c r="J9464" s="199"/>
    </row>
    <row r="9465" spans="9:10" x14ac:dyDescent="0.25">
      <c r="I9465" s="199"/>
      <c r="J9465" s="199"/>
    </row>
    <row r="9466" spans="9:10" x14ac:dyDescent="0.25">
      <c r="I9466" s="199"/>
      <c r="J9466" s="199"/>
    </row>
    <row r="9467" spans="9:10" x14ac:dyDescent="0.25">
      <c r="I9467" s="199"/>
      <c r="J9467" s="199"/>
    </row>
    <row r="9468" spans="9:10" x14ac:dyDescent="0.25">
      <c r="I9468" s="199"/>
      <c r="J9468" s="199"/>
    </row>
    <row r="9469" spans="9:10" x14ac:dyDescent="0.25">
      <c r="I9469" s="199"/>
      <c r="J9469" s="199"/>
    </row>
    <row r="9470" spans="9:10" x14ac:dyDescent="0.25">
      <c r="I9470" s="199"/>
      <c r="J9470" s="199"/>
    </row>
    <row r="9471" spans="9:10" x14ac:dyDescent="0.25">
      <c r="I9471" s="199"/>
      <c r="J9471" s="199"/>
    </row>
    <row r="9472" spans="9:10" x14ac:dyDescent="0.25">
      <c r="I9472" s="199"/>
      <c r="J9472" s="199"/>
    </row>
    <row r="9473" spans="9:10" x14ac:dyDescent="0.25">
      <c r="I9473" s="199"/>
      <c r="J9473" s="199"/>
    </row>
    <row r="9474" spans="9:10" x14ac:dyDescent="0.25">
      <c r="I9474" s="199"/>
      <c r="J9474" s="199"/>
    </row>
    <row r="9475" spans="9:10" x14ac:dyDescent="0.25">
      <c r="I9475" s="199"/>
      <c r="J9475" s="199"/>
    </row>
    <row r="9476" spans="9:10" x14ac:dyDescent="0.25">
      <c r="I9476" s="199"/>
      <c r="J9476" s="199"/>
    </row>
    <row r="9477" spans="9:10" x14ac:dyDescent="0.25">
      <c r="I9477" s="199"/>
      <c r="J9477" s="199"/>
    </row>
    <row r="9478" spans="9:10" x14ac:dyDescent="0.25">
      <c r="I9478" s="199"/>
      <c r="J9478" s="199"/>
    </row>
    <row r="9479" spans="9:10" x14ac:dyDescent="0.25">
      <c r="I9479" s="199"/>
      <c r="J9479" s="199"/>
    </row>
    <row r="9480" spans="9:10" x14ac:dyDescent="0.25">
      <c r="I9480" s="199"/>
      <c r="J9480" s="199"/>
    </row>
    <row r="9481" spans="9:10" x14ac:dyDescent="0.25">
      <c r="I9481" s="199"/>
      <c r="J9481" s="199"/>
    </row>
    <row r="9482" spans="9:10" x14ac:dyDescent="0.25">
      <c r="I9482" s="199"/>
      <c r="J9482" s="199"/>
    </row>
    <row r="9483" spans="9:10" x14ac:dyDescent="0.25">
      <c r="I9483" s="199"/>
      <c r="J9483" s="199"/>
    </row>
    <row r="9484" spans="9:10" x14ac:dyDescent="0.25">
      <c r="I9484" s="199"/>
      <c r="J9484" s="199"/>
    </row>
    <row r="9485" spans="9:10" x14ac:dyDescent="0.25">
      <c r="I9485" s="199"/>
      <c r="J9485" s="199"/>
    </row>
    <row r="9486" spans="9:10" x14ac:dyDescent="0.25">
      <c r="I9486" s="199"/>
      <c r="J9486" s="199"/>
    </row>
    <row r="9487" spans="9:10" x14ac:dyDescent="0.25">
      <c r="I9487" s="199"/>
      <c r="J9487" s="199"/>
    </row>
    <row r="9488" spans="9:10" x14ac:dyDescent="0.25">
      <c r="I9488" s="199"/>
      <c r="J9488" s="199"/>
    </row>
    <row r="9489" spans="9:10" x14ac:dyDescent="0.25">
      <c r="I9489" s="199"/>
      <c r="J9489" s="199"/>
    </row>
    <row r="9490" spans="9:10" x14ac:dyDescent="0.25">
      <c r="I9490" s="199"/>
      <c r="J9490" s="199"/>
    </row>
    <row r="9491" spans="9:10" x14ac:dyDescent="0.25">
      <c r="I9491" s="199"/>
      <c r="J9491" s="199"/>
    </row>
    <row r="9492" spans="9:10" x14ac:dyDescent="0.25">
      <c r="I9492" s="199"/>
      <c r="J9492" s="199"/>
    </row>
    <row r="9493" spans="9:10" x14ac:dyDescent="0.25">
      <c r="I9493" s="199"/>
      <c r="J9493" s="199"/>
    </row>
    <row r="9494" spans="9:10" x14ac:dyDescent="0.25">
      <c r="I9494" s="199"/>
      <c r="J9494" s="199"/>
    </row>
    <row r="9495" spans="9:10" x14ac:dyDescent="0.25">
      <c r="I9495" s="199"/>
      <c r="J9495" s="199"/>
    </row>
    <row r="9496" spans="9:10" x14ac:dyDescent="0.25">
      <c r="I9496" s="199"/>
      <c r="J9496" s="199"/>
    </row>
    <row r="9497" spans="9:10" x14ac:dyDescent="0.25">
      <c r="I9497" s="199"/>
      <c r="J9497" s="199"/>
    </row>
    <row r="9498" spans="9:10" x14ac:dyDescent="0.25">
      <c r="I9498" s="199"/>
      <c r="J9498" s="199"/>
    </row>
    <row r="9499" spans="9:10" x14ac:dyDescent="0.25">
      <c r="I9499" s="199"/>
      <c r="J9499" s="199"/>
    </row>
    <row r="9500" spans="9:10" x14ac:dyDescent="0.25">
      <c r="I9500" s="199"/>
      <c r="J9500" s="199"/>
    </row>
    <row r="9501" spans="9:10" x14ac:dyDescent="0.25">
      <c r="I9501" s="199"/>
      <c r="J9501" s="199"/>
    </row>
    <row r="9502" spans="9:10" x14ac:dyDescent="0.25">
      <c r="I9502" s="199"/>
      <c r="J9502" s="199"/>
    </row>
    <row r="9503" spans="9:10" x14ac:dyDescent="0.25">
      <c r="I9503" s="199"/>
      <c r="J9503" s="199"/>
    </row>
    <row r="9504" spans="9:10" x14ac:dyDescent="0.25">
      <c r="I9504" s="199"/>
      <c r="J9504" s="199"/>
    </row>
    <row r="9505" spans="9:10" x14ac:dyDescent="0.25">
      <c r="I9505" s="199"/>
      <c r="J9505" s="199"/>
    </row>
    <row r="9506" spans="9:10" x14ac:dyDescent="0.25">
      <c r="I9506" s="199"/>
      <c r="J9506" s="199"/>
    </row>
    <row r="9507" spans="9:10" x14ac:dyDescent="0.25">
      <c r="I9507" s="199"/>
      <c r="J9507" s="199"/>
    </row>
    <row r="9508" spans="9:10" x14ac:dyDescent="0.25">
      <c r="I9508" s="199"/>
      <c r="J9508" s="199"/>
    </row>
    <row r="9509" spans="9:10" x14ac:dyDescent="0.25">
      <c r="I9509" s="199"/>
      <c r="J9509" s="199"/>
    </row>
    <row r="9510" spans="9:10" x14ac:dyDescent="0.25">
      <c r="I9510" s="199"/>
      <c r="J9510" s="199"/>
    </row>
    <row r="9511" spans="9:10" x14ac:dyDescent="0.25">
      <c r="I9511" s="199"/>
      <c r="J9511" s="199"/>
    </row>
    <row r="9512" spans="9:10" x14ac:dyDescent="0.25">
      <c r="I9512" s="199"/>
      <c r="J9512" s="199"/>
    </row>
    <row r="9513" spans="9:10" x14ac:dyDescent="0.25">
      <c r="I9513" s="199"/>
      <c r="J9513" s="199"/>
    </row>
    <row r="9514" spans="9:10" x14ac:dyDescent="0.25">
      <c r="I9514" s="199"/>
      <c r="J9514" s="199"/>
    </row>
    <row r="9515" spans="9:10" x14ac:dyDescent="0.25">
      <c r="I9515" s="199"/>
      <c r="J9515" s="199"/>
    </row>
    <row r="9516" spans="9:10" x14ac:dyDescent="0.25">
      <c r="I9516" s="199"/>
      <c r="J9516" s="199"/>
    </row>
    <row r="9517" spans="9:10" x14ac:dyDescent="0.25">
      <c r="I9517" s="199"/>
      <c r="J9517" s="199"/>
    </row>
    <row r="9518" spans="9:10" x14ac:dyDescent="0.25">
      <c r="I9518" s="199"/>
      <c r="J9518" s="199"/>
    </row>
    <row r="9519" spans="9:10" x14ac:dyDescent="0.25">
      <c r="I9519" s="199"/>
      <c r="J9519" s="199"/>
    </row>
    <row r="9520" spans="9:10" x14ac:dyDescent="0.25">
      <c r="I9520" s="199"/>
      <c r="J9520" s="199"/>
    </row>
    <row r="9521" spans="9:10" x14ac:dyDescent="0.25">
      <c r="I9521" s="199"/>
      <c r="J9521" s="199"/>
    </row>
    <row r="9522" spans="9:10" x14ac:dyDescent="0.25">
      <c r="I9522" s="199"/>
      <c r="J9522" s="199"/>
    </row>
    <row r="9523" spans="9:10" x14ac:dyDescent="0.25">
      <c r="I9523" s="199"/>
      <c r="J9523" s="199"/>
    </row>
    <row r="9524" spans="9:10" x14ac:dyDescent="0.25">
      <c r="I9524" s="199"/>
      <c r="J9524" s="199"/>
    </row>
    <row r="9525" spans="9:10" x14ac:dyDescent="0.25">
      <c r="I9525" s="199"/>
      <c r="J9525" s="199"/>
    </row>
    <row r="9526" spans="9:10" x14ac:dyDescent="0.25">
      <c r="I9526" s="199"/>
      <c r="J9526" s="199"/>
    </row>
    <row r="9527" spans="9:10" x14ac:dyDescent="0.25">
      <c r="I9527" s="199"/>
      <c r="J9527" s="199"/>
    </row>
    <row r="9528" spans="9:10" x14ac:dyDescent="0.25">
      <c r="I9528" s="199"/>
      <c r="J9528" s="199"/>
    </row>
    <row r="9529" spans="9:10" x14ac:dyDescent="0.25">
      <c r="I9529" s="199"/>
      <c r="J9529" s="199"/>
    </row>
    <row r="9530" spans="9:10" x14ac:dyDescent="0.25">
      <c r="I9530" s="199"/>
      <c r="J9530" s="199"/>
    </row>
    <row r="9531" spans="9:10" x14ac:dyDescent="0.25">
      <c r="I9531" s="199"/>
      <c r="J9531" s="199"/>
    </row>
    <row r="9532" spans="9:10" x14ac:dyDescent="0.25">
      <c r="I9532" s="199"/>
      <c r="J9532" s="199"/>
    </row>
    <row r="9533" spans="9:10" x14ac:dyDescent="0.25">
      <c r="I9533" s="199"/>
      <c r="J9533" s="199"/>
    </row>
    <row r="9534" spans="9:10" x14ac:dyDescent="0.25">
      <c r="I9534" s="199"/>
      <c r="J9534" s="199"/>
    </row>
    <row r="9535" spans="9:10" x14ac:dyDescent="0.25">
      <c r="I9535" s="199"/>
      <c r="J9535" s="199"/>
    </row>
    <row r="9536" spans="9:10" x14ac:dyDescent="0.25">
      <c r="I9536" s="199"/>
      <c r="J9536" s="199"/>
    </row>
    <row r="9537" spans="9:10" x14ac:dyDescent="0.25">
      <c r="I9537" s="199"/>
      <c r="J9537" s="199"/>
    </row>
    <row r="9538" spans="9:10" x14ac:dyDescent="0.25">
      <c r="I9538" s="199"/>
      <c r="J9538" s="199"/>
    </row>
    <row r="9539" spans="9:10" x14ac:dyDescent="0.25">
      <c r="I9539" s="199"/>
      <c r="J9539" s="199"/>
    </row>
    <row r="9540" spans="9:10" x14ac:dyDescent="0.25">
      <c r="I9540" s="199"/>
      <c r="J9540" s="199"/>
    </row>
    <row r="9541" spans="9:10" x14ac:dyDescent="0.25">
      <c r="I9541" s="199"/>
      <c r="J9541" s="199"/>
    </row>
    <row r="9542" spans="9:10" x14ac:dyDescent="0.25">
      <c r="I9542" s="199"/>
      <c r="J9542" s="199"/>
    </row>
    <row r="9543" spans="9:10" x14ac:dyDescent="0.25">
      <c r="I9543" s="199"/>
      <c r="J9543" s="199"/>
    </row>
    <row r="9544" spans="9:10" x14ac:dyDescent="0.25">
      <c r="I9544" s="199"/>
      <c r="J9544" s="199"/>
    </row>
    <row r="9545" spans="9:10" x14ac:dyDescent="0.25">
      <c r="I9545" s="199"/>
      <c r="J9545" s="199"/>
    </row>
    <row r="9546" spans="9:10" x14ac:dyDescent="0.25">
      <c r="I9546" s="199"/>
      <c r="J9546" s="199"/>
    </row>
    <row r="9547" spans="9:10" x14ac:dyDescent="0.25">
      <c r="I9547" s="199"/>
      <c r="J9547" s="199"/>
    </row>
    <row r="9548" spans="9:10" x14ac:dyDescent="0.25">
      <c r="I9548" s="199"/>
      <c r="J9548" s="199"/>
    </row>
    <row r="9549" spans="9:10" x14ac:dyDescent="0.25">
      <c r="I9549" s="199"/>
      <c r="J9549" s="199"/>
    </row>
    <row r="9550" spans="9:10" x14ac:dyDescent="0.25">
      <c r="I9550" s="199"/>
      <c r="J9550" s="199"/>
    </row>
    <row r="9551" spans="9:10" x14ac:dyDescent="0.25">
      <c r="I9551" s="199"/>
      <c r="J9551" s="199"/>
    </row>
    <row r="9552" spans="9:10" x14ac:dyDescent="0.25">
      <c r="I9552" s="199"/>
      <c r="J9552" s="199"/>
    </row>
    <row r="9553" spans="9:10" x14ac:dyDescent="0.25">
      <c r="I9553" s="199"/>
      <c r="J9553" s="199"/>
    </row>
    <row r="9554" spans="9:10" x14ac:dyDescent="0.25">
      <c r="I9554" s="199"/>
      <c r="J9554" s="199"/>
    </row>
    <row r="9555" spans="9:10" x14ac:dyDescent="0.25">
      <c r="I9555" s="199"/>
      <c r="J9555" s="199"/>
    </row>
    <row r="9556" spans="9:10" x14ac:dyDescent="0.25">
      <c r="I9556" s="199"/>
      <c r="J9556" s="199"/>
    </row>
    <row r="9557" spans="9:10" x14ac:dyDescent="0.25">
      <c r="I9557" s="199"/>
      <c r="J9557" s="199"/>
    </row>
    <row r="9558" spans="9:10" x14ac:dyDescent="0.25">
      <c r="I9558" s="199"/>
      <c r="J9558" s="199"/>
    </row>
    <row r="9559" spans="9:10" x14ac:dyDescent="0.25">
      <c r="I9559" s="199"/>
      <c r="J9559" s="199"/>
    </row>
    <row r="9560" spans="9:10" x14ac:dyDescent="0.25">
      <c r="I9560" s="199"/>
      <c r="J9560" s="199"/>
    </row>
    <row r="9561" spans="9:10" x14ac:dyDescent="0.25">
      <c r="I9561" s="199"/>
      <c r="J9561" s="199"/>
    </row>
    <row r="9562" spans="9:10" x14ac:dyDescent="0.25">
      <c r="I9562" s="199"/>
      <c r="J9562" s="199"/>
    </row>
    <row r="9563" spans="9:10" x14ac:dyDescent="0.25">
      <c r="I9563" s="199"/>
      <c r="J9563" s="199"/>
    </row>
    <row r="9564" spans="9:10" x14ac:dyDescent="0.25">
      <c r="I9564" s="199"/>
      <c r="J9564" s="199"/>
    </row>
    <row r="9565" spans="9:10" x14ac:dyDescent="0.25">
      <c r="I9565" s="199"/>
      <c r="J9565" s="199"/>
    </row>
    <row r="9566" spans="9:10" x14ac:dyDescent="0.25">
      <c r="I9566" s="199"/>
      <c r="J9566" s="199"/>
    </row>
    <row r="9567" spans="9:10" x14ac:dyDescent="0.25">
      <c r="I9567" s="199"/>
      <c r="J9567" s="199"/>
    </row>
    <row r="9568" spans="9:10" x14ac:dyDescent="0.25">
      <c r="I9568" s="199"/>
      <c r="J9568" s="199"/>
    </row>
    <row r="9569" spans="9:10" x14ac:dyDescent="0.25">
      <c r="I9569" s="199"/>
      <c r="J9569" s="199"/>
    </row>
    <row r="9570" spans="9:10" x14ac:dyDescent="0.25">
      <c r="I9570" s="199"/>
      <c r="J9570" s="199"/>
    </row>
    <row r="9571" spans="9:10" x14ac:dyDescent="0.25">
      <c r="I9571" s="199"/>
      <c r="J9571" s="199"/>
    </row>
    <row r="9572" spans="9:10" x14ac:dyDescent="0.25">
      <c r="I9572" s="199"/>
      <c r="J9572" s="199"/>
    </row>
    <row r="9573" spans="9:10" x14ac:dyDescent="0.25">
      <c r="I9573" s="199"/>
      <c r="J9573" s="199"/>
    </row>
    <row r="9574" spans="9:10" x14ac:dyDescent="0.25">
      <c r="I9574" s="199"/>
      <c r="J9574" s="199"/>
    </row>
    <row r="9575" spans="9:10" x14ac:dyDescent="0.25">
      <c r="I9575" s="199"/>
      <c r="J9575" s="199"/>
    </row>
    <row r="9576" spans="9:10" x14ac:dyDescent="0.25">
      <c r="I9576" s="199"/>
      <c r="J9576" s="199"/>
    </row>
    <row r="9577" spans="9:10" x14ac:dyDescent="0.25">
      <c r="I9577" s="199"/>
      <c r="J9577" s="199"/>
    </row>
    <row r="9578" spans="9:10" x14ac:dyDescent="0.25">
      <c r="I9578" s="199"/>
      <c r="J9578" s="199"/>
    </row>
    <row r="9579" spans="9:10" x14ac:dyDescent="0.25">
      <c r="I9579" s="199"/>
      <c r="J9579" s="199"/>
    </row>
    <row r="9580" spans="9:10" x14ac:dyDescent="0.25">
      <c r="I9580" s="199"/>
      <c r="J9580" s="199"/>
    </row>
    <row r="9581" spans="9:10" x14ac:dyDescent="0.25">
      <c r="I9581" s="199"/>
      <c r="J9581" s="199"/>
    </row>
    <row r="9582" spans="9:10" x14ac:dyDescent="0.25">
      <c r="I9582" s="199"/>
      <c r="J9582" s="199"/>
    </row>
    <row r="9583" spans="9:10" x14ac:dyDescent="0.25">
      <c r="I9583" s="199"/>
      <c r="J9583" s="199"/>
    </row>
    <row r="9584" spans="9:10" x14ac:dyDescent="0.25">
      <c r="I9584" s="199"/>
      <c r="J9584" s="199"/>
    </row>
    <row r="9585" spans="9:10" x14ac:dyDescent="0.25">
      <c r="I9585" s="199"/>
      <c r="J9585" s="199"/>
    </row>
    <row r="9586" spans="9:10" x14ac:dyDescent="0.25">
      <c r="I9586" s="199"/>
      <c r="J9586" s="199"/>
    </row>
    <row r="9587" spans="9:10" x14ac:dyDescent="0.25">
      <c r="I9587" s="199"/>
      <c r="J9587" s="199"/>
    </row>
    <row r="9588" spans="9:10" x14ac:dyDescent="0.25">
      <c r="I9588" s="199"/>
      <c r="J9588" s="199"/>
    </row>
    <row r="9589" spans="9:10" x14ac:dyDescent="0.25">
      <c r="I9589" s="199"/>
      <c r="J9589" s="199"/>
    </row>
    <row r="9590" spans="9:10" x14ac:dyDescent="0.25">
      <c r="I9590" s="199"/>
      <c r="J9590" s="199"/>
    </row>
    <row r="9591" spans="9:10" x14ac:dyDescent="0.25">
      <c r="I9591" s="199"/>
      <c r="J9591" s="199"/>
    </row>
    <row r="9592" spans="9:10" x14ac:dyDescent="0.25">
      <c r="I9592" s="199"/>
      <c r="J9592" s="199"/>
    </row>
    <row r="9593" spans="9:10" x14ac:dyDescent="0.25">
      <c r="I9593" s="199"/>
      <c r="J9593" s="199"/>
    </row>
    <row r="9594" spans="9:10" x14ac:dyDescent="0.25">
      <c r="I9594" s="199"/>
      <c r="J9594" s="199"/>
    </row>
    <row r="9595" spans="9:10" x14ac:dyDescent="0.25">
      <c r="I9595" s="199"/>
      <c r="J9595" s="199"/>
    </row>
    <row r="9596" spans="9:10" x14ac:dyDescent="0.25">
      <c r="I9596" s="199"/>
      <c r="J9596" s="199"/>
    </row>
    <row r="9597" spans="9:10" x14ac:dyDescent="0.25">
      <c r="I9597" s="199"/>
      <c r="J9597" s="199"/>
    </row>
    <row r="9598" spans="9:10" x14ac:dyDescent="0.25">
      <c r="I9598" s="199"/>
      <c r="J9598" s="199"/>
    </row>
    <row r="9599" spans="9:10" x14ac:dyDescent="0.25">
      <c r="I9599" s="199"/>
      <c r="J9599" s="199"/>
    </row>
    <row r="9600" spans="9:10" x14ac:dyDescent="0.25">
      <c r="I9600" s="199"/>
      <c r="J9600" s="199"/>
    </row>
    <row r="9601" spans="9:10" x14ac:dyDescent="0.25">
      <c r="I9601" s="199"/>
      <c r="J9601" s="199"/>
    </row>
    <row r="9602" spans="9:10" x14ac:dyDescent="0.25">
      <c r="I9602" s="199"/>
      <c r="J9602" s="199"/>
    </row>
    <row r="9603" spans="9:10" x14ac:dyDescent="0.25">
      <c r="I9603" s="199"/>
      <c r="J9603" s="199"/>
    </row>
    <row r="9604" spans="9:10" x14ac:dyDescent="0.25">
      <c r="I9604" s="199"/>
      <c r="J9604" s="199"/>
    </row>
    <row r="9605" spans="9:10" x14ac:dyDescent="0.25">
      <c r="I9605" s="199"/>
      <c r="J9605" s="199"/>
    </row>
    <row r="9606" spans="9:10" x14ac:dyDescent="0.25">
      <c r="I9606" s="199"/>
      <c r="J9606" s="199"/>
    </row>
    <row r="9607" spans="9:10" x14ac:dyDescent="0.25">
      <c r="I9607" s="199"/>
      <c r="J9607" s="199"/>
    </row>
    <row r="9608" spans="9:10" x14ac:dyDescent="0.25">
      <c r="I9608" s="199"/>
      <c r="J9608" s="199"/>
    </row>
    <row r="9609" spans="9:10" x14ac:dyDescent="0.25">
      <c r="I9609" s="199"/>
      <c r="J9609" s="199"/>
    </row>
    <row r="9610" spans="9:10" x14ac:dyDescent="0.25">
      <c r="I9610" s="199"/>
      <c r="J9610" s="199"/>
    </row>
    <row r="9611" spans="9:10" x14ac:dyDescent="0.25">
      <c r="I9611" s="199"/>
      <c r="J9611" s="199"/>
    </row>
    <row r="9612" spans="9:10" x14ac:dyDescent="0.25">
      <c r="I9612" s="199"/>
      <c r="J9612" s="199"/>
    </row>
    <row r="9613" spans="9:10" x14ac:dyDescent="0.25">
      <c r="I9613" s="199"/>
      <c r="J9613" s="199"/>
    </row>
    <row r="9614" spans="9:10" x14ac:dyDescent="0.25">
      <c r="I9614" s="199"/>
      <c r="J9614" s="199"/>
    </row>
    <row r="9615" spans="9:10" x14ac:dyDescent="0.25">
      <c r="I9615" s="199"/>
      <c r="J9615" s="199"/>
    </row>
    <row r="9616" spans="9:10" x14ac:dyDescent="0.25">
      <c r="I9616" s="199"/>
      <c r="J9616" s="199"/>
    </row>
    <row r="9617" spans="9:10" x14ac:dyDescent="0.25">
      <c r="I9617" s="199"/>
      <c r="J9617" s="199"/>
    </row>
    <row r="9618" spans="9:10" x14ac:dyDescent="0.25">
      <c r="I9618" s="199"/>
      <c r="J9618" s="199"/>
    </row>
    <row r="9619" spans="9:10" x14ac:dyDescent="0.25">
      <c r="I9619" s="199"/>
      <c r="J9619" s="199"/>
    </row>
    <row r="9620" spans="9:10" x14ac:dyDescent="0.25">
      <c r="I9620" s="199"/>
      <c r="J9620" s="199"/>
    </row>
    <row r="9621" spans="9:10" x14ac:dyDescent="0.25">
      <c r="I9621" s="199"/>
      <c r="J9621" s="199"/>
    </row>
    <row r="9622" spans="9:10" x14ac:dyDescent="0.25">
      <c r="I9622" s="199"/>
      <c r="J9622" s="199"/>
    </row>
    <row r="9623" spans="9:10" x14ac:dyDescent="0.25">
      <c r="I9623" s="199"/>
      <c r="J9623" s="199"/>
    </row>
    <row r="9624" spans="9:10" x14ac:dyDescent="0.25">
      <c r="I9624" s="199"/>
      <c r="J9624" s="199"/>
    </row>
    <row r="9625" spans="9:10" x14ac:dyDescent="0.25">
      <c r="I9625" s="199"/>
      <c r="J9625" s="199"/>
    </row>
    <row r="9626" spans="9:10" x14ac:dyDescent="0.25">
      <c r="I9626" s="199"/>
      <c r="J9626" s="199"/>
    </row>
    <row r="9627" spans="9:10" x14ac:dyDescent="0.25">
      <c r="I9627" s="199"/>
      <c r="J9627" s="199"/>
    </row>
    <row r="9628" spans="9:10" x14ac:dyDescent="0.25">
      <c r="I9628" s="199"/>
      <c r="J9628" s="199"/>
    </row>
    <row r="9629" spans="9:10" x14ac:dyDescent="0.25">
      <c r="I9629" s="199"/>
      <c r="J9629" s="199"/>
    </row>
    <row r="9630" spans="9:10" x14ac:dyDescent="0.25">
      <c r="I9630" s="199"/>
      <c r="J9630" s="199"/>
    </row>
    <row r="9631" spans="9:10" x14ac:dyDescent="0.25">
      <c r="I9631" s="199"/>
      <c r="J9631" s="199"/>
    </row>
    <row r="9632" spans="9:10" x14ac:dyDescent="0.25">
      <c r="I9632" s="199"/>
      <c r="J9632" s="199"/>
    </row>
    <row r="9633" spans="9:10" x14ac:dyDescent="0.25">
      <c r="I9633" s="199"/>
      <c r="J9633" s="199"/>
    </row>
    <row r="9634" spans="9:10" x14ac:dyDescent="0.25">
      <c r="I9634" s="199"/>
      <c r="J9634" s="199"/>
    </row>
    <row r="9635" spans="9:10" x14ac:dyDescent="0.25">
      <c r="I9635" s="199"/>
      <c r="J9635" s="199"/>
    </row>
    <row r="9636" spans="9:10" x14ac:dyDescent="0.25">
      <c r="I9636" s="199"/>
      <c r="J9636" s="199"/>
    </row>
    <row r="9637" spans="9:10" x14ac:dyDescent="0.25">
      <c r="I9637" s="199"/>
      <c r="J9637" s="199"/>
    </row>
    <row r="9638" spans="9:10" x14ac:dyDescent="0.25">
      <c r="I9638" s="199"/>
      <c r="J9638" s="199"/>
    </row>
    <row r="9639" spans="9:10" x14ac:dyDescent="0.25">
      <c r="I9639" s="199"/>
      <c r="J9639" s="199"/>
    </row>
    <row r="9640" spans="9:10" x14ac:dyDescent="0.25">
      <c r="I9640" s="199"/>
      <c r="J9640" s="199"/>
    </row>
    <row r="9641" spans="9:10" x14ac:dyDescent="0.25">
      <c r="I9641" s="199"/>
      <c r="J9641" s="199"/>
    </row>
    <row r="9642" spans="9:10" x14ac:dyDescent="0.25">
      <c r="I9642" s="199"/>
      <c r="J9642" s="199"/>
    </row>
    <row r="9643" spans="9:10" x14ac:dyDescent="0.25">
      <c r="I9643" s="199"/>
      <c r="J9643" s="199"/>
    </row>
    <row r="9644" spans="9:10" x14ac:dyDescent="0.25">
      <c r="I9644" s="199"/>
      <c r="J9644" s="199"/>
    </row>
    <row r="9645" spans="9:10" x14ac:dyDescent="0.25">
      <c r="I9645" s="199"/>
      <c r="J9645" s="199"/>
    </row>
    <row r="9646" spans="9:10" x14ac:dyDescent="0.25">
      <c r="I9646" s="199"/>
      <c r="J9646" s="199"/>
    </row>
    <row r="9647" spans="9:10" x14ac:dyDescent="0.25">
      <c r="I9647" s="199"/>
      <c r="J9647" s="199"/>
    </row>
    <row r="9648" spans="9:10" x14ac:dyDescent="0.25">
      <c r="I9648" s="199"/>
      <c r="J9648" s="199"/>
    </row>
    <row r="9649" spans="9:10" x14ac:dyDescent="0.25">
      <c r="I9649" s="199"/>
      <c r="J9649" s="199"/>
    </row>
    <row r="9650" spans="9:10" x14ac:dyDescent="0.25">
      <c r="I9650" s="199"/>
      <c r="J9650" s="199"/>
    </row>
    <row r="9651" spans="9:10" x14ac:dyDescent="0.25">
      <c r="I9651" s="199"/>
      <c r="J9651" s="199"/>
    </row>
    <row r="9652" spans="9:10" x14ac:dyDescent="0.25">
      <c r="I9652" s="199"/>
      <c r="J9652" s="199"/>
    </row>
    <row r="9653" spans="9:10" x14ac:dyDescent="0.25">
      <c r="I9653" s="199"/>
      <c r="J9653" s="199"/>
    </row>
    <row r="9654" spans="9:10" x14ac:dyDescent="0.25">
      <c r="I9654" s="199"/>
      <c r="J9654" s="199"/>
    </row>
    <row r="9655" spans="9:10" x14ac:dyDescent="0.25">
      <c r="I9655" s="199"/>
      <c r="J9655" s="199"/>
    </row>
    <row r="9656" spans="9:10" x14ac:dyDescent="0.25">
      <c r="I9656" s="199"/>
      <c r="J9656" s="199"/>
    </row>
    <row r="9657" spans="9:10" x14ac:dyDescent="0.25">
      <c r="I9657" s="199"/>
      <c r="J9657" s="199"/>
    </row>
    <row r="9658" spans="9:10" x14ac:dyDescent="0.25">
      <c r="I9658" s="199"/>
      <c r="J9658" s="199"/>
    </row>
    <row r="9659" spans="9:10" x14ac:dyDescent="0.25">
      <c r="I9659" s="199"/>
      <c r="J9659" s="199"/>
    </row>
    <row r="9660" spans="9:10" x14ac:dyDescent="0.25">
      <c r="I9660" s="199"/>
      <c r="J9660" s="199"/>
    </row>
    <row r="9661" spans="9:10" x14ac:dyDescent="0.25">
      <c r="I9661" s="199"/>
      <c r="J9661" s="199"/>
    </row>
    <row r="9662" spans="9:10" x14ac:dyDescent="0.25">
      <c r="I9662" s="199"/>
      <c r="J9662" s="199"/>
    </row>
    <row r="9663" spans="9:10" x14ac:dyDescent="0.25">
      <c r="I9663" s="199"/>
      <c r="J9663" s="199"/>
    </row>
    <row r="9664" spans="9:10" x14ac:dyDescent="0.25">
      <c r="I9664" s="199"/>
      <c r="J9664" s="199"/>
    </row>
    <row r="9665" spans="9:10" x14ac:dyDescent="0.25">
      <c r="I9665" s="199"/>
      <c r="J9665" s="199"/>
    </row>
    <row r="9666" spans="9:10" x14ac:dyDescent="0.25">
      <c r="I9666" s="199"/>
      <c r="J9666" s="199"/>
    </row>
    <row r="9667" spans="9:10" x14ac:dyDescent="0.25">
      <c r="I9667" s="199"/>
      <c r="J9667" s="199"/>
    </row>
    <row r="9668" spans="9:10" x14ac:dyDescent="0.25">
      <c r="I9668" s="199"/>
      <c r="J9668" s="199"/>
    </row>
    <row r="9669" spans="9:10" x14ac:dyDescent="0.25">
      <c r="I9669" s="199"/>
      <c r="J9669" s="199"/>
    </row>
    <row r="9670" spans="9:10" x14ac:dyDescent="0.25">
      <c r="I9670" s="199"/>
      <c r="J9670" s="199"/>
    </row>
    <row r="9671" spans="9:10" x14ac:dyDescent="0.25">
      <c r="I9671" s="199"/>
      <c r="J9671" s="199"/>
    </row>
    <row r="9672" spans="9:10" x14ac:dyDescent="0.25">
      <c r="I9672" s="199"/>
      <c r="J9672" s="199"/>
    </row>
    <row r="9673" spans="9:10" x14ac:dyDescent="0.25">
      <c r="I9673" s="199"/>
      <c r="J9673" s="199"/>
    </row>
    <row r="9674" spans="9:10" x14ac:dyDescent="0.25">
      <c r="I9674" s="199"/>
      <c r="J9674" s="199"/>
    </row>
    <row r="9675" spans="9:10" x14ac:dyDescent="0.25">
      <c r="I9675" s="199"/>
      <c r="J9675" s="199"/>
    </row>
    <row r="9676" spans="9:10" x14ac:dyDescent="0.25">
      <c r="I9676" s="199"/>
      <c r="J9676" s="199"/>
    </row>
    <row r="9677" spans="9:10" x14ac:dyDescent="0.25">
      <c r="I9677" s="199"/>
      <c r="J9677" s="199"/>
    </row>
    <row r="9678" spans="9:10" x14ac:dyDescent="0.25">
      <c r="I9678" s="199"/>
      <c r="J9678" s="199"/>
    </row>
    <row r="9679" spans="9:10" x14ac:dyDescent="0.25">
      <c r="I9679" s="199"/>
      <c r="J9679" s="199"/>
    </row>
    <row r="9680" spans="9:10" x14ac:dyDescent="0.25">
      <c r="I9680" s="199"/>
      <c r="J9680" s="199"/>
    </row>
    <row r="9681" spans="9:10" x14ac:dyDescent="0.25">
      <c r="I9681" s="199"/>
      <c r="J9681" s="199"/>
    </row>
    <row r="9682" spans="9:10" x14ac:dyDescent="0.25">
      <c r="I9682" s="199"/>
      <c r="J9682" s="199"/>
    </row>
    <row r="9683" spans="9:10" x14ac:dyDescent="0.25">
      <c r="I9683" s="199"/>
      <c r="J9683" s="199"/>
    </row>
    <row r="9684" spans="9:10" x14ac:dyDescent="0.25">
      <c r="I9684" s="199"/>
      <c r="J9684" s="199"/>
    </row>
    <row r="9685" spans="9:10" x14ac:dyDescent="0.25">
      <c r="I9685" s="199"/>
      <c r="J9685" s="199"/>
    </row>
    <row r="9686" spans="9:10" x14ac:dyDescent="0.25">
      <c r="I9686" s="199"/>
      <c r="J9686" s="199"/>
    </row>
    <row r="9687" spans="9:10" x14ac:dyDescent="0.25">
      <c r="I9687" s="199"/>
      <c r="J9687" s="199"/>
    </row>
    <row r="9688" spans="9:10" x14ac:dyDescent="0.25">
      <c r="I9688" s="199"/>
      <c r="J9688" s="199"/>
    </row>
    <row r="9689" spans="9:10" x14ac:dyDescent="0.25">
      <c r="I9689" s="199"/>
      <c r="J9689" s="199"/>
    </row>
    <row r="9690" spans="9:10" x14ac:dyDescent="0.25">
      <c r="I9690" s="199"/>
      <c r="J9690" s="199"/>
    </row>
    <row r="9691" spans="9:10" x14ac:dyDescent="0.25">
      <c r="I9691" s="199"/>
      <c r="J9691" s="199"/>
    </row>
    <row r="9692" spans="9:10" x14ac:dyDescent="0.25">
      <c r="I9692" s="199"/>
      <c r="J9692" s="199"/>
    </row>
    <row r="9693" spans="9:10" x14ac:dyDescent="0.25">
      <c r="I9693" s="199"/>
      <c r="J9693" s="199"/>
    </row>
    <row r="9694" spans="9:10" x14ac:dyDescent="0.25">
      <c r="I9694" s="199"/>
      <c r="J9694" s="199"/>
    </row>
    <row r="9695" spans="9:10" x14ac:dyDescent="0.25">
      <c r="I9695" s="199"/>
      <c r="J9695" s="199"/>
    </row>
    <row r="9696" spans="9:10" x14ac:dyDescent="0.25">
      <c r="I9696" s="199"/>
      <c r="J9696" s="199"/>
    </row>
    <row r="9697" spans="9:10" x14ac:dyDescent="0.25">
      <c r="I9697" s="199"/>
      <c r="J9697" s="199"/>
    </row>
    <row r="9698" spans="9:10" x14ac:dyDescent="0.25">
      <c r="I9698" s="199"/>
      <c r="J9698" s="199"/>
    </row>
    <row r="9699" spans="9:10" x14ac:dyDescent="0.25">
      <c r="I9699" s="199"/>
      <c r="J9699" s="199"/>
    </row>
    <row r="9700" spans="9:10" x14ac:dyDescent="0.25">
      <c r="I9700" s="199"/>
      <c r="J9700" s="199"/>
    </row>
    <row r="9701" spans="9:10" x14ac:dyDescent="0.25">
      <c r="I9701" s="199"/>
      <c r="J9701" s="199"/>
    </row>
    <row r="9702" spans="9:10" x14ac:dyDescent="0.25">
      <c r="I9702" s="199"/>
      <c r="J9702" s="199"/>
    </row>
    <row r="9703" spans="9:10" x14ac:dyDescent="0.25">
      <c r="I9703" s="199"/>
      <c r="J9703" s="199"/>
    </row>
    <row r="9704" spans="9:10" x14ac:dyDescent="0.25">
      <c r="I9704" s="199"/>
      <c r="J9704" s="199"/>
    </row>
    <row r="9705" spans="9:10" x14ac:dyDescent="0.25">
      <c r="I9705" s="199"/>
      <c r="J9705" s="199"/>
    </row>
    <row r="9706" spans="9:10" x14ac:dyDescent="0.25">
      <c r="I9706" s="199"/>
      <c r="J9706" s="199"/>
    </row>
    <row r="9707" spans="9:10" x14ac:dyDescent="0.25">
      <c r="I9707" s="199"/>
      <c r="J9707" s="199"/>
    </row>
    <row r="9708" spans="9:10" x14ac:dyDescent="0.25">
      <c r="I9708" s="199"/>
      <c r="J9708" s="199"/>
    </row>
    <row r="9709" spans="9:10" x14ac:dyDescent="0.25">
      <c r="I9709" s="199"/>
      <c r="J9709" s="199"/>
    </row>
    <row r="9710" spans="9:10" x14ac:dyDescent="0.25">
      <c r="I9710" s="199"/>
      <c r="J9710" s="199"/>
    </row>
    <row r="9711" spans="9:10" x14ac:dyDescent="0.25">
      <c r="I9711" s="199"/>
      <c r="J9711" s="199"/>
    </row>
    <row r="9712" spans="9:10" x14ac:dyDescent="0.25">
      <c r="I9712" s="199"/>
      <c r="J9712" s="199"/>
    </row>
    <row r="9713" spans="9:10" x14ac:dyDescent="0.25">
      <c r="I9713" s="199"/>
      <c r="J9713" s="199"/>
    </row>
    <row r="9714" spans="9:10" x14ac:dyDescent="0.25">
      <c r="I9714" s="199"/>
      <c r="J9714" s="199"/>
    </row>
    <row r="9715" spans="9:10" x14ac:dyDescent="0.25">
      <c r="I9715" s="199"/>
      <c r="J9715" s="199"/>
    </row>
    <row r="9716" spans="9:10" x14ac:dyDescent="0.25">
      <c r="I9716" s="199"/>
      <c r="J9716" s="199"/>
    </row>
    <row r="9717" spans="9:10" x14ac:dyDescent="0.25">
      <c r="I9717" s="199"/>
      <c r="J9717" s="199"/>
    </row>
    <row r="9718" spans="9:10" x14ac:dyDescent="0.25">
      <c r="I9718" s="199"/>
      <c r="J9718" s="199"/>
    </row>
    <row r="9719" spans="9:10" x14ac:dyDescent="0.25">
      <c r="I9719" s="199"/>
      <c r="J9719" s="199"/>
    </row>
    <row r="9720" spans="9:10" x14ac:dyDescent="0.25">
      <c r="I9720" s="199"/>
      <c r="J9720" s="199"/>
    </row>
    <row r="9721" spans="9:10" x14ac:dyDescent="0.25">
      <c r="I9721" s="199"/>
      <c r="J9721" s="199"/>
    </row>
    <row r="9722" spans="9:10" x14ac:dyDescent="0.25">
      <c r="I9722" s="199"/>
      <c r="J9722" s="199"/>
    </row>
    <row r="9723" spans="9:10" x14ac:dyDescent="0.25">
      <c r="I9723" s="199"/>
      <c r="J9723" s="199"/>
    </row>
    <row r="9724" spans="9:10" x14ac:dyDescent="0.25">
      <c r="I9724" s="199"/>
      <c r="J9724" s="199"/>
    </row>
    <row r="9725" spans="9:10" x14ac:dyDescent="0.25">
      <c r="I9725" s="199"/>
      <c r="J9725" s="199"/>
    </row>
    <row r="9726" spans="9:10" x14ac:dyDescent="0.25">
      <c r="I9726" s="199"/>
      <c r="J9726" s="199"/>
    </row>
    <row r="9727" spans="9:10" x14ac:dyDescent="0.25">
      <c r="I9727" s="199"/>
      <c r="J9727" s="199"/>
    </row>
    <row r="9728" spans="9:10" x14ac:dyDescent="0.25">
      <c r="I9728" s="199"/>
      <c r="J9728" s="199"/>
    </row>
    <row r="9729" spans="9:10" x14ac:dyDescent="0.25">
      <c r="I9729" s="199"/>
      <c r="J9729" s="199"/>
    </row>
    <row r="9730" spans="9:10" x14ac:dyDescent="0.25">
      <c r="I9730" s="199"/>
      <c r="J9730" s="199"/>
    </row>
    <row r="9731" spans="9:10" x14ac:dyDescent="0.25">
      <c r="I9731" s="199"/>
      <c r="J9731" s="199"/>
    </row>
    <row r="9732" spans="9:10" x14ac:dyDescent="0.25">
      <c r="I9732" s="199"/>
      <c r="J9732" s="199"/>
    </row>
    <row r="9733" spans="9:10" x14ac:dyDescent="0.25">
      <c r="I9733" s="199"/>
      <c r="J9733" s="199"/>
    </row>
    <row r="9734" spans="9:10" x14ac:dyDescent="0.25">
      <c r="I9734" s="199"/>
      <c r="J9734" s="199"/>
    </row>
    <row r="9735" spans="9:10" x14ac:dyDescent="0.25">
      <c r="I9735" s="199"/>
      <c r="J9735" s="199"/>
    </row>
    <row r="9736" spans="9:10" x14ac:dyDescent="0.25">
      <c r="I9736" s="199"/>
      <c r="J9736" s="199"/>
    </row>
    <row r="9737" spans="9:10" x14ac:dyDescent="0.25">
      <c r="I9737" s="199"/>
      <c r="J9737" s="199"/>
    </row>
    <row r="9738" spans="9:10" x14ac:dyDescent="0.25">
      <c r="I9738" s="199"/>
      <c r="J9738" s="199"/>
    </row>
    <row r="9739" spans="9:10" x14ac:dyDescent="0.25">
      <c r="I9739" s="199"/>
      <c r="J9739" s="199"/>
    </row>
    <row r="9740" spans="9:10" x14ac:dyDescent="0.25">
      <c r="I9740" s="199"/>
      <c r="J9740" s="199"/>
    </row>
    <row r="9741" spans="9:10" x14ac:dyDescent="0.25">
      <c r="I9741" s="199"/>
      <c r="J9741" s="199"/>
    </row>
    <row r="9742" spans="9:10" x14ac:dyDescent="0.25">
      <c r="I9742" s="199"/>
      <c r="J9742" s="199"/>
    </row>
    <row r="9743" spans="9:10" x14ac:dyDescent="0.25">
      <c r="I9743" s="199"/>
      <c r="J9743" s="199"/>
    </row>
    <row r="9744" spans="9:10" x14ac:dyDescent="0.25">
      <c r="I9744" s="199"/>
      <c r="J9744" s="199"/>
    </row>
    <row r="9745" spans="9:10" x14ac:dyDescent="0.25">
      <c r="I9745" s="199"/>
      <c r="J9745" s="199"/>
    </row>
    <row r="9746" spans="9:10" x14ac:dyDescent="0.25">
      <c r="I9746" s="199"/>
      <c r="J9746" s="199"/>
    </row>
    <row r="9747" spans="9:10" x14ac:dyDescent="0.25">
      <c r="I9747" s="199"/>
      <c r="J9747" s="199"/>
    </row>
    <row r="9748" spans="9:10" x14ac:dyDescent="0.25">
      <c r="I9748" s="199"/>
      <c r="J9748" s="199"/>
    </row>
    <row r="9749" spans="9:10" x14ac:dyDescent="0.25">
      <c r="I9749" s="199"/>
      <c r="J9749" s="199"/>
    </row>
    <row r="9750" spans="9:10" x14ac:dyDescent="0.25">
      <c r="I9750" s="199"/>
      <c r="J9750" s="199"/>
    </row>
    <row r="9751" spans="9:10" x14ac:dyDescent="0.25">
      <c r="I9751" s="199"/>
      <c r="J9751" s="199"/>
    </row>
    <row r="9752" spans="9:10" x14ac:dyDescent="0.25">
      <c r="I9752" s="199"/>
      <c r="J9752" s="199"/>
    </row>
    <row r="9753" spans="9:10" x14ac:dyDescent="0.25">
      <c r="I9753" s="199"/>
      <c r="J9753" s="199"/>
    </row>
    <row r="9754" spans="9:10" x14ac:dyDescent="0.25">
      <c r="I9754" s="199"/>
      <c r="J9754" s="199"/>
    </row>
    <row r="9755" spans="9:10" x14ac:dyDescent="0.25">
      <c r="I9755" s="199"/>
      <c r="J9755" s="199"/>
    </row>
    <row r="9756" spans="9:10" x14ac:dyDescent="0.25">
      <c r="I9756" s="199"/>
      <c r="J9756" s="199"/>
    </row>
    <row r="9757" spans="9:10" x14ac:dyDescent="0.25">
      <c r="I9757" s="199"/>
      <c r="J9757" s="199"/>
    </row>
    <row r="9758" spans="9:10" x14ac:dyDescent="0.25">
      <c r="I9758" s="199"/>
      <c r="J9758" s="199"/>
    </row>
    <row r="9759" spans="9:10" x14ac:dyDescent="0.25">
      <c r="I9759" s="199"/>
      <c r="J9759" s="199"/>
    </row>
    <row r="9760" spans="9:10" x14ac:dyDescent="0.25">
      <c r="I9760" s="199"/>
      <c r="J9760" s="199"/>
    </row>
    <row r="9761" spans="9:10" x14ac:dyDescent="0.25">
      <c r="I9761" s="199"/>
      <c r="J9761" s="199"/>
    </row>
    <row r="9762" spans="9:10" x14ac:dyDescent="0.25">
      <c r="I9762" s="199"/>
      <c r="J9762" s="199"/>
    </row>
    <row r="9763" spans="9:10" x14ac:dyDescent="0.25">
      <c r="I9763" s="199"/>
      <c r="J9763" s="199"/>
    </row>
    <row r="9764" spans="9:10" x14ac:dyDescent="0.25">
      <c r="I9764" s="199"/>
      <c r="J9764" s="199"/>
    </row>
    <row r="9765" spans="9:10" x14ac:dyDescent="0.25">
      <c r="I9765" s="199"/>
      <c r="J9765" s="199"/>
    </row>
    <row r="9766" spans="9:10" x14ac:dyDescent="0.25">
      <c r="I9766" s="199"/>
      <c r="J9766" s="199"/>
    </row>
    <row r="9767" spans="9:10" x14ac:dyDescent="0.25">
      <c r="I9767" s="199"/>
      <c r="J9767" s="199"/>
    </row>
    <row r="9768" spans="9:10" x14ac:dyDescent="0.25">
      <c r="I9768" s="199"/>
      <c r="J9768" s="199"/>
    </row>
    <row r="9769" spans="9:10" x14ac:dyDescent="0.25">
      <c r="I9769" s="199"/>
      <c r="J9769" s="199"/>
    </row>
    <row r="9770" spans="9:10" x14ac:dyDescent="0.25">
      <c r="I9770" s="199"/>
      <c r="J9770" s="199"/>
    </row>
    <row r="9771" spans="9:10" x14ac:dyDescent="0.25">
      <c r="I9771" s="199"/>
      <c r="J9771" s="199"/>
    </row>
    <row r="9772" spans="9:10" x14ac:dyDescent="0.25">
      <c r="I9772" s="199"/>
      <c r="J9772" s="199"/>
    </row>
    <row r="9773" spans="9:10" x14ac:dyDescent="0.25">
      <c r="I9773" s="199"/>
      <c r="J9773" s="199"/>
    </row>
    <row r="9774" spans="9:10" x14ac:dyDescent="0.25">
      <c r="I9774" s="199"/>
      <c r="J9774" s="199"/>
    </row>
    <row r="9775" spans="9:10" x14ac:dyDescent="0.25">
      <c r="I9775" s="199"/>
      <c r="J9775" s="199"/>
    </row>
    <row r="9776" spans="9:10" x14ac:dyDescent="0.25">
      <c r="I9776" s="199"/>
      <c r="J9776" s="199"/>
    </row>
    <row r="9777" spans="9:10" x14ac:dyDescent="0.25">
      <c r="I9777" s="199"/>
      <c r="J9777" s="199"/>
    </row>
    <row r="9778" spans="9:10" x14ac:dyDescent="0.25">
      <c r="I9778" s="199"/>
      <c r="J9778" s="199"/>
    </row>
    <row r="9779" spans="9:10" x14ac:dyDescent="0.25">
      <c r="I9779" s="199"/>
      <c r="J9779" s="199"/>
    </row>
    <row r="9780" spans="9:10" x14ac:dyDescent="0.25">
      <c r="I9780" s="199"/>
      <c r="J9780" s="199"/>
    </row>
    <row r="9781" spans="9:10" x14ac:dyDescent="0.25">
      <c r="I9781" s="199"/>
      <c r="J9781" s="199"/>
    </row>
    <row r="9782" spans="9:10" x14ac:dyDescent="0.25">
      <c r="I9782" s="199"/>
      <c r="J9782" s="199"/>
    </row>
    <row r="9783" spans="9:10" x14ac:dyDescent="0.25">
      <c r="I9783" s="199"/>
      <c r="J9783" s="199"/>
    </row>
    <row r="9784" spans="9:10" x14ac:dyDescent="0.25">
      <c r="I9784" s="199"/>
      <c r="J9784" s="199"/>
    </row>
    <row r="9785" spans="9:10" x14ac:dyDescent="0.25">
      <c r="I9785" s="199"/>
      <c r="J9785" s="199"/>
    </row>
    <row r="9786" spans="9:10" x14ac:dyDescent="0.25">
      <c r="I9786" s="199"/>
      <c r="J9786" s="199"/>
    </row>
    <row r="9787" spans="9:10" x14ac:dyDescent="0.25">
      <c r="I9787" s="199"/>
      <c r="J9787" s="199"/>
    </row>
    <row r="9788" spans="9:10" x14ac:dyDescent="0.25">
      <c r="I9788" s="199"/>
      <c r="J9788" s="199"/>
    </row>
    <row r="9789" spans="9:10" x14ac:dyDescent="0.25">
      <c r="I9789" s="199"/>
      <c r="J9789" s="199"/>
    </row>
    <row r="9790" spans="9:10" x14ac:dyDescent="0.25">
      <c r="I9790" s="199"/>
      <c r="J9790" s="199"/>
    </row>
    <row r="9791" spans="9:10" x14ac:dyDescent="0.25">
      <c r="I9791" s="199"/>
      <c r="J9791" s="199"/>
    </row>
    <row r="9792" spans="9:10" x14ac:dyDescent="0.25">
      <c r="I9792" s="199"/>
      <c r="J9792" s="199"/>
    </row>
    <row r="9793" spans="9:10" x14ac:dyDescent="0.25">
      <c r="I9793" s="199"/>
      <c r="J9793" s="199"/>
    </row>
    <row r="9794" spans="9:10" x14ac:dyDescent="0.25">
      <c r="I9794" s="199"/>
      <c r="J9794" s="199"/>
    </row>
    <row r="9795" spans="9:10" x14ac:dyDescent="0.25">
      <c r="I9795" s="199"/>
      <c r="J9795" s="199"/>
    </row>
    <row r="9796" spans="9:10" x14ac:dyDescent="0.25">
      <c r="I9796" s="199"/>
      <c r="J9796" s="199"/>
    </row>
    <row r="9797" spans="9:10" x14ac:dyDescent="0.25">
      <c r="I9797" s="199"/>
      <c r="J9797" s="199"/>
    </row>
    <row r="9798" spans="9:10" x14ac:dyDescent="0.25">
      <c r="I9798" s="199"/>
      <c r="J9798" s="199"/>
    </row>
    <row r="9799" spans="9:10" x14ac:dyDescent="0.25">
      <c r="I9799" s="199"/>
      <c r="J9799" s="199"/>
    </row>
    <row r="9800" spans="9:10" x14ac:dyDescent="0.25">
      <c r="I9800" s="199"/>
      <c r="J9800" s="199"/>
    </row>
    <row r="9801" spans="9:10" x14ac:dyDescent="0.25">
      <c r="I9801" s="199"/>
      <c r="J9801" s="199"/>
    </row>
    <row r="9802" spans="9:10" x14ac:dyDescent="0.25">
      <c r="I9802" s="199"/>
      <c r="J9802" s="199"/>
    </row>
    <row r="9803" spans="9:10" x14ac:dyDescent="0.25">
      <c r="I9803" s="199"/>
      <c r="J9803" s="199"/>
    </row>
    <row r="9804" spans="9:10" x14ac:dyDescent="0.25">
      <c r="I9804" s="199"/>
      <c r="J9804" s="199"/>
    </row>
    <row r="9805" spans="9:10" x14ac:dyDescent="0.25">
      <c r="I9805" s="199"/>
      <c r="J9805" s="199"/>
    </row>
    <row r="9806" spans="9:10" x14ac:dyDescent="0.25">
      <c r="I9806" s="199"/>
      <c r="J9806" s="199"/>
    </row>
    <row r="9807" spans="9:10" x14ac:dyDescent="0.25">
      <c r="I9807" s="199"/>
      <c r="J9807" s="199"/>
    </row>
    <row r="9808" spans="9:10" x14ac:dyDescent="0.25">
      <c r="I9808" s="199"/>
      <c r="J9808" s="199"/>
    </row>
    <row r="9809" spans="9:10" x14ac:dyDescent="0.25">
      <c r="I9809" s="199"/>
      <c r="J9809" s="199"/>
    </row>
    <row r="9810" spans="9:10" x14ac:dyDescent="0.25">
      <c r="I9810" s="199"/>
      <c r="J9810" s="199"/>
    </row>
    <row r="9811" spans="9:10" x14ac:dyDescent="0.25">
      <c r="I9811" s="199"/>
      <c r="J9811" s="199"/>
    </row>
    <row r="9812" spans="9:10" x14ac:dyDescent="0.25">
      <c r="I9812" s="199"/>
      <c r="J9812" s="199"/>
    </row>
    <row r="9813" spans="9:10" x14ac:dyDescent="0.25">
      <c r="I9813" s="199"/>
      <c r="J9813" s="199"/>
    </row>
    <row r="9814" spans="9:10" x14ac:dyDescent="0.25">
      <c r="I9814" s="199"/>
      <c r="J9814" s="199"/>
    </row>
    <row r="9815" spans="9:10" x14ac:dyDescent="0.25">
      <c r="I9815" s="199"/>
      <c r="J9815" s="199"/>
    </row>
    <row r="9816" spans="9:10" x14ac:dyDescent="0.25">
      <c r="I9816" s="199"/>
      <c r="J9816" s="199"/>
    </row>
    <row r="9817" spans="9:10" x14ac:dyDescent="0.25">
      <c r="I9817" s="199"/>
      <c r="J9817" s="199"/>
    </row>
    <row r="9818" spans="9:10" x14ac:dyDescent="0.25">
      <c r="I9818" s="199"/>
      <c r="J9818" s="199"/>
    </row>
    <row r="9819" spans="9:10" x14ac:dyDescent="0.25">
      <c r="I9819" s="199"/>
      <c r="J9819" s="199"/>
    </row>
    <row r="9820" spans="9:10" x14ac:dyDescent="0.25">
      <c r="I9820" s="199"/>
      <c r="J9820" s="199"/>
    </row>
    <row r="9821" spans="9:10" x14ac:dyDescent="0.25">
      <c r="I9821" s="199"/>
      <c r="J9821" s="199"/>
    </row>
    <row r="9822" spans="9:10" x14ac:dyDescent="0.25">
      <c r="I9822" s="199"/>
      <c r="J9822" s="199"/>
    </row>
    <row r="9823" spans="9:10" x14ac:dyDescent="0.25">
      <c r="I9823" s="199"/>
      <c r="J9823" s="199"/>
    </row>
    <row r="9824" spans="9:10" x14ac:dyDescent="0.25">
      <c r="I9824" s="199"/>
      <c r="J9824" s="199"/>
    </row>
    <row r="9825" spans="9:10" x14ac:dyDescent="0.25">
      <c r="I9825" s="199"/>
      <c r="J9825" s="199"/>
    </row>
    <row r="9826" spans="9:10" x14ac:dyDescent="0.25">
      <c r="I9826" s="199"/>
      <c r="J9826" s="199"/>
    </row>
    <row r="9827" spans="9:10" x14ac:dyDescent="0.25">
      <c r="I9827" s="199"/>
      <c r="J9827" s="199"/>
    </row>
    <row r="9828" spans="9:10" x14ac:dyDescent="0.25">
      <c r="I9828" s="199"/>
      <c r="J9828" s="199"/>
    </row>
    <row r="9829" spans="9:10" x14ac:dyDescent="0.25">
      <c r="I9829" s="199"/>
      <c r="J9829" s="199"/>
    </row>
    <row r="9830" spans="9:10" x14ac:dyDescent="0.25">
      <c r="I9830" s="199"/>
      <c r="J9830" s="199"/>
    </row>
    <row r="9831" spans="9:10" x14ac:dyDescent="0.25">
      <c r="I9831" s="199"/>
      <c r="J9831" s="199"/>
    </row>
    <row r="9832" spans="9:10" x14ac:dyDescent="0.25">
      <c r="I9832" s="199"/>
      <c r="J9832" s="199"/>
    </row>
    <row r="9833" spans="9:10" x14ac:dyDescent="0.25">
      <c r="I9833" s="199"/>
      <c r="J9833" s="199"/>
    </row>
    <row r="9834" spans="9:10" x14ac:dyDescent="0.25">
      <c r="I9834" s="199"/>
      <c r="J9834" s="199"/>
    </row>
    <row r="9835" spans="9:10" x14ac:dyDescent="0.25">
      <c r="I9835" s="199"/>
      <c r="J9835" s="199"/>
    </row>
    <row r="9836" spans="9:10" x14ac:dyDescent="0.25">
      <c r="I9836" s="199"/>
      <c r="J9836" s="199"/>
    </row>
    <row r="9837" spans="9:10" x14ac:dyDescent="0.25">
      <c r="I9837" s="199"/>
      <c r="J9837" s="199"/>
    </row>
    <row r="9838" spans="9:10" x14ac:dyDescent="0.25">
      <c r="I9838" s="199"/>
      <c r="J9838" s="199"/>
    </row>
    <row r="9839" spans="9:10" x14ac:dyDescent="0.25">
      <c r="I9839" s="199"/>
      <c r="J9839" s="199"/>
    </row>
    <row r="9840" spans="9:10" x14ac:dyDescent="0.25">
      <c r="I9840" s="199"/>
      <c r="J9840" s="199"/>
    </row>
    <row r="9841" spans="9:10" x14ac:dyDescent="0.25">
      <c r="I9841" s="199"/>
      <c r="J9841" s="199"/>
    </row>
    <row r="9842" spans="9:10" x14ac:dyDescent="0.25">
      <c r="I9842" s="199"/>
      <c r="J9842" s="199"/>
    </row>
    <row r="9843" spans="9:10" x14ac:dyDescent="0.25">
      <c r="I9843" s="199"/>
      <c r="J9843" s="199"/>
    </row>
    <row r="9844" spans="9:10" x14ac:dyDescent="0.25">
      <c r="I9844" s="199"/>
      <c r="J9844" s="199"/>
    </row>
    <row r="9845" spans="9:10" x14ac:dyDescent="0.25">
      <c r="I9845" s="199"/>
      <c r="J9845" s="199"/>
    </row>
    <row r="9846" spans="9:10" x14ac:dyDescent="0.25">
      <c r="I9846" s="199"/>
      <c r="J9846" s="199"/>
    </row>
    <row r="9847" spans="9:10" x14ac:dyDescent="0.25">
      <c r="I9847" s="199"/>
      <c r="J9847" s="199"/>
    </row>
    <row r="9848" spans="9:10" x14ac:dyDescent="0.25">
      <c r="I9848" s="199"/>
      <c r="J9848" s="199"/>
    </row>
    <row r="9849" spans="9:10" x14ac:dyDescent="0.25">
      <c r="I9849" s="199"/>
      <c r="J9849" s="199"/>
    </row>
    <row r="9850" spans="9:10" x14ac:dyDescent="0.25">
      <c r="I9850" s="199"/>
      <c r="J9850" s="199"/>
    </row>
    <row r="9851" spans="9:10" x14ac:dyDescent="0.25">
      <c r="I9851" s="199"/>
      <c r="J9851" s="199"/>
    </row>
    <row r="9852" spans="9:10" x14ac:dyDescent="0.25">
      <c r="I9852" s="199"/>
      <c r="J9852" s="199"/>
    </row>
    <row r="9853" spans="9:10" x14ac:dyDescent="0.25">
      <c r="I9853" s="199"/>
      <c r="J9853" s="199"/>
    </row>
    <row r="9854" spans="9:10" x14ac:dyDescent="0.25">
      <c r="I9854" s="199"/>
      <c r="J9854" s="199"/>
    </row>
    <row r="9855" spans="9:10" x14ac:dyDescent="0.25">
      <c r="I9855" s="199"/>
      <c r="J9855" s="199"/>
    </row>
    <row r="9856" spans="9:10" x14ac:dyDescent="0.25">
      <c r="I9856" s="199"/>
      <c r="J9856" s="199"/>
    </row>
    <row r="9857" spans="9:10" x14ac:dyDescent="0.25">
      <c r="I9857" s="199"/>
      <c r="J9857" s="199"/>
    </row>
    <row r="9858" spans="9:10" x14ac:dyDescent="0.25">
      <c r="I9858" s="199"/>
      <c r="J9858" s="199"/>
    </row>
    <row r="9859" spans="9:10" x14ac:dyDescent="0.25">
      <c r="I9859" s="199"/>
      <c r="J9859" s="199"/>
    </row>
    <row r="9860" spans="9:10" x14ac:dyDescent="0.25">
      <c r="I9860" s="199"/>
      <c r="J9860" s="199"/>
    </row>
    <row r="9861" spans="9:10" x14ac:dyDescent="0.25">
      <c r="I9861" s="199"/>
      <c r="J9861" s="199"/>
    </row>
    <row r="9862" spans="9:10" x14ac:dyDescent="0.25">
      <c r="I9862" s="199"/>
      <c r="J9862" s="199"/>
    </row>
    <row r="9863" spans="9:10" x14ac:dyDescent="0.25">
      <c r="I9863" s="199"/>
      <c r="J9863" s="199"/>
    </row>
    <row r="9864" spans="9:10" x14ac:dyDescent="0.25">
      <c r="I9864" s="199"/>
      <c r="J9864" s="199"/>
    </row>
    <row r="9865" spans="9:10" x14ac:dyDescent="0.25">
      <c r="I9865" s="199"/>
      <c r="J9865" s="199"/>
    </row>
    <row r="9866" spans="9:10" x14ac:dyDescent="0.25">
      <c r="I9866" s="199"/>
      <c r="J9866" s="199"/>
    </row>
    <row r="9867" spans="9:10" x14ac:dyDescent="0.25">
      <c r="I9867" s="199"/>
      <c r="J9867" s="199"/>
    </row>
    <row r="9868" spans="9:10" x14ac:dyDescent="0.25">
      <c r="I9868" s="199"/>
      <c r="J9868" s="199"/>
    </row>
    <row r="9869" spans="9:10" x14ac:dyDescent="0.25">
      <c r="I9869" s="199"/>
      <c r="J9869" s="199"/>
    </row>
    <row r="9870" spans="9:10" x14ac:dyDescent="0.25">
      <c r="I9870" s="199"/>
      <c r="J9870" s="199"/>
    </row>
    <row r="9871" spans="9:10" x14ac:dyDescent="0.25">
      <c r="I9871" s="199"/>
      <c r="J9871" s="199"/>
    </row>
    <row r="9872" spans="9:10" x14ac:dyDescent="0.25">
      <c r="I9872" s="199"/>
      <c r="J9872" s="199"/>
    </row>
    <row r="9873" spans="9:10" x14ac:dyDescent="0.25">
      <c r="I9873" s="199"/>
      <c r="J9873" s="199"/>
    </row>
    <row r="9874" spans="9:10" x14ac:dyDescent="0.25">
      <c r="I9874" s="199"/>
      <c r="J9874" s="199"/>
    </row>
    <row r="9875" spans="9:10" x14ac:dyDescent="0.25">
      <c r="I9875" s="199"/>
      <c r="J9875" s="199"/>
    </row>
    <row r="9876" spans="9:10" x14ac:dyDescent="0.25">
      <c r="I9876" s="199"/>
      <c r="J9876" s="199"/>
    </row>
    <row r="9877" spans="9:10" x14ac:dyDescent="0.25">
      <c r="I9877" s="199"/>
      <c r="J9877" s="199"/>
    </row>
    <row r="9878" spans="9:10" x14ac:dyDescent="0.25">
      <c r="I9878" s="199"/>
      <c r="J9878" s="199"/>
    </row>
    <row r="9879" spans="9:10" x14ac:dyDescent="0.25">
      <c r="I9879" s="199"/>
      <c r="J9879" s="199"/>
    </row>
    <row r="9880" spans="9:10" x14ac:dyDescent="0.25">
      <c r="I9880" s="199"/>
      <c r="J9880" s="199"/>
    </row>
    <row r="9881" spans="9:10" x14ac:dyDescent="0.25">
      <c r="I9881" s="199"/>
      <c r="J9881" s="199"/>
    </row>
    <row r="9882" spans="9:10" x14ac:dyDescent="0.25">
      <c r="I9882" s="199"/>
      <c r="J9882" s="199"/>
    </row>
    <row r="9883" spans="9:10" x14ac:dyDescent="0.25">
      <c r="I9883" s="199"/>
      <c r="J9883" s="199"/>
    </row>
    <row r="9884" spans="9:10" x14ac:dyDescent="0.25">
      <c r="I9884" s="199"/>
      <c r="J9884" s="199"/>
    </row>
    <row r="9885" spans="9:10" x14ac:dyDescent="0.25">
      <c r="I9885" s="199"/>
      <c r="J9885" s="199"/>
    </row>
    <row r="9886" spans="9:10" x14ac:dyDescent="0.25">
      <c r="I9886" s="199"/>
      <c r="J9886" s="199"/>
    </row>
    <row r="9887" spans="9:10" x14ac:dyDescent="0.25">
      <c r="I9887" s="199"/>
      <c r="J9887" s="199"/>
    </row>
    <row r="9888" spans="9:10" x14ac:dyDescent="0.25">
      <c r="I9888" s="199"/>
      <c r="J9888" s="199"/>
    </row>
    <row r="9889" spans="9:10" x14ac:dyDescent="0.25">
      <c r="I9889" s="199"/>
      <c r="J9889" s="199"/>
    </row>
    <row r="9890" spans="9:10" x14ac:dyDescent="0.25">
      <c r="I9890" s="199"/>
      <c r="J9890" s="199"/>
    </row>
    <row r="9891" spans="9:10" x14ac:dyDescent="0.25">
      <c r="I9891" s="199"/>
      <c r="J9891" s="199"/>
    </row>
    <row r="9892" spans="9:10" x14ac:dyDescent="0.25">
      <c r="I9892" s="199"/>
      <c r="J9892" s="199"/>
    </row>
    <row r="9893" spans="9:10" x14ac:dyDescent="0.25">
      <c r="I9893" s="199"/>
      <c r="J9893" s="199"/>
    </row>
    <row r="9894" spans="9:10" x14ac:dyDescent="0.25">
      <c r="I9894" s="199"/>
      <c r="J9894" s="199"/>
    </row>
    <row r="9895" spans="9:10" x14ac:dyDescent="0.25">
      <c r="I9895" s="199"/>
      <c r="J9895" s="199"/>
    </row>
    <row r="9896" spans="9:10" x14ac:dyDescent="0.25">
      <c r="I9896" s="199"/>
      <c r="J9896" s="199"/>
    </row>
    <row r="9897" spans="9:10" x14ac:dyDescent="0.25">
      <c r="I9897" s="199"/>
      <c r="J9897" s="199"/>
    </row>
    <row r="9898" spans="9:10" x14ac:dyDescent="0.25">
      <c r="I9898" s="199"/>
      <c r="J9898" s="199"/>
    </row>
    <row r="9899" spans="9:10" x14ac:dyDescent="0.25">
      <c r="I9899" s="199"/>
      <c r="J9899" s="199"/>
    </row>
    <row r="9900" spans="9:10" x14ac:dyDescent="0.25">
      <c r="I9900" s="199"/>
      <c r="J9900" s="199"/>
    </row>
    <row r="9901" spans="9:10" x14ac:dyDescent="0.25">
      <c r="I9901" s="199"/>
      <c r="J9901" s="199"/>
    </row>
    <row r="9902" spans="9:10" x14ac:dyDescent="0.25">
      <c r="I9902" s="199"/>
      <c r="J9902" s="199"/>
    </row>
    <row r="9903" spans="9:10" x14ac:dyDescent="0.25">
      <c r="I9903" s="199"/>
      <c r="J9903" s="199"/>
    </row>
    <row r="9904" spans="9:10" x14ac:dyDescent="0.25">
      <c r="I9904" s="199"/>
      <c r="J9904" s="199"/>
    </row>
    <row r="9905" spans="9:10" x14ac:dyDescent="0.25">
      <c r="I9905" s="199"/>
      <c r="J9905" s="199"/>
    </row>
    <row r="9906" spans="9:10" x14ac:dyDescent="0.25">
      <c r="I9906" s="199"/>
      <c r="J9906" s="199"/>
    </row>
    <row r="9907" spans="9:10" x14ac:dyDescent="0.25">
      <c r="I9907" s="199"/>
      <c r="J9907" s="199"/>
    </row>
    <row r="9908" spans="9:10" x14ac:dyDescent="0.25">
      <c r="I9908" s="199"/>
      <c r="J9908" s="199"/>
    </row>
    <row r="9909" spans="9:10" x14ac:dyDescent="0.25">
      <c r="I9909" s="199"/>
      <c r="J9909" s="199"/>
    </row>
    <row r="9910" spans="9:10" x14ac:dyDescent="0.25">
      <c r="I9910" s="199"/>
      <c r="J9910" s="199"/>
    </row>
    <row r="9911" spans="9:10" x14ac:dyDescent="0.25">
      <c r="I9911" s="199"/>
      <c r="J9911" s="199"/>
    </row>
    <row r="9912" spans="9:10" x14ac:dyDescent="0.25">
      <c r="I9912" s="199"/>
      <c r="J9912" s="199"/>
    </row>
    <row r="9913" spans="9:10" x14ac:dyDescent="0.25">
      <c r="I9913" s="199"/>
      <c r="J9913" s="199"/>
    </row>
    <row r="9914" spans="9:10" x14ac:dyDescent="0.25">
      <c r="I9914" s="199"/>
      <c r="J9914" s="199"/>
    </row>
    <row r="9915" spans="9:10" x14ac:dyDescent="0.25">
      <c r="I9915" s="199"/>
      <c r="J9915" s="199"/>
    </row>
    <row r="9916" spans="9:10" x14ac:dyDescent="0.25">
      <c r="I9916" s="199"/>
      <c r="J9916" s="199"/>
    </row>
    <row r="9917" spans="9:10" x14ac:dyDescent="0.25">
      <c r="I9917" s="199"/>
      <c r="J9917" s="199"/>
    </row>
    <row r="9918" spans="9:10" x14ac:dyDescent="0.25">
      <c r="I9918" s="199"/>
      <c r="J9918" s="199"/>
    </row>
    <row r="9919" spans="9:10" x14ac:dyDescent="0.25">
      <c r="I9919" s="199"/>
      <c r="J9919" s="199"/>
    </row>
    <row r="9920" spans="9:10" x14ac:dyDescent="0.25">
      <c r="I9920" s="199"/>
      <c r="J9920" s="199"/>
    </row>
    <row r="9921" spans="9:10" x14ac:dyDescent="0.25">
      <c r="I9921" s="199"/>
      <c r="J9921" s="199"/>
    </row>
    <row r="9922" spans="9:10" x14ac:dyDescent="0.25">
      <c r="I9922" s="199"/>
      <c r="J9922" s="199"/>
    </row>
    <row r="9923" spans="9:10" x14ac:dyDescent="0.25">
      <c r="I9923" s="199"/>
      <c r="J9923" s="199"/>
    </row>
    <row r="9924" spans="9:10" x14ac:dyDescent="0.25">
      <c r="I9924" s="199"/>
      <c r="J9924" s="199"/>
    </row>
    <row r="9925" spans="9:10" x14ac:dyDescent="0.25">
      <c r="I9925" s="199"/>
      <c r="J9925" s="199"/>
    </row>
    <row r="9926" spans="9:10" x14ac:dyDescent="0.25">
      <c r="I9926" s="199"/>
      <c r="J9926" s="199"/>
    </row>
    <row r="9927" spans="9:10" x14ac:dyDescent="0.25">
      <c r="I9927" s="199"/>
      <c r="J9927" s="199"/>
    </row>
    <row r="9928" spans="9:10" x14ac:dyDescent="0.25">
      <c r="I9928" s="199"/>
      <c r="J9928" s="199"/>
    </row>
    <row r="9929" spans="9:10" x14ac:dyDescent="0.25">
      <c r="I9929" s="199"/>
      <c r="J9929" s="199"/>
    </row>
    <row r="9930" spans="9:10" x14ac:dyDescent="0.25">
      <c r="I9930" s="199"/>
      <c r="J9930" s="199"/>
    </row>
    <row r="9931" spans="9:10" x14ac:dyDescent="0.25">
      <c r="I9931" s="199"/>
      <c r="J9931" s="199"/>
    </row>
    <row r="9932" spans="9:10" x14ac:dyDescent="0.25">
      <c r="I9932" s="199"/>
      <c r="J9932" s="199"/>
    </row>
    <row r="9933" spans="9:10" x14ac:dyDescent="0.25">
      <c r="I9933" s="199"/>
      <c r="J9933" s="199"/>
    </row>
    <row r="9934" spans="9:10" x14ac:dyDescent="0.25">
      <c r="I9934" s="199"/>
      <c r="J9934" s="199"/>
    </row>
    <row r="9935" spans="9:10" x14ac:dyDescent="0.25">
      <c r="I9935" s="199"/>
      <c r="J9935" s="199"/>
    </row>
    <row r="9936" spans="9:10" x14ac:dyDescent="0.25">
      <c r="I9936" s="199"/>
      <c r="J9936" s="199"/>
    </row>
    <row r="9937" spans="9:10" x14ac:dyDescent="0.25">
      <c r="I9937" s="199"/>
      <c r="J9937" s="199"/>
    </row>
    <row r="9938" spans="9:10" x14ac:dyDescent="0.25">
      <c r="I9938" s="199"/>
      <c r="J9938" s="199"/>
    </row>
    <row r="9939" spans="9:10" x14ac:dyDescent="0.25">
      <c r="I9939" s="199"/>
      <c r="J9939" s="199"/>
    </row>
    <row r="9940" spans="9:10" x14ac:dyDescent="0.25">
      <c r="I9940" s="199"/>
      <c r="J9940" s="199"/>
    </row>
    <row r="9941" spans="9:10" x14ac:dyDescent="0.25">
      <c r="I9941" s="199"/>
      <c r="J9941" s="199"/>
    </row>
    <row r="9942" spans="9:10" x14ac:dyDescent="0.25">
      <c r="I9942" s="199"/>
      <c r="J9942" s="199"/>
    </row>
    <row r="9943" spans="9:10" x14ac:dyDescent="0.25">
      <c r="I9943" s="199"/>
      <c r="J9943" s="199"/>
    </row>
    <row r="9944" spans="9:10" x14ac:dyDescent="0.25">
      <c r="I9944" s="199"/>
      <c r="J9944" s="199"/>
    </row>
    <row r="9945" spans="9:10" x14ac:dyDescent="0.25">
      <c r="I9945" s="199"/>
      <c r="J9945" s="199"/>
    </row>
    <row r="9946" spans="9:10" x14ac:dyDescent="0.25">
      <c r="I9946" s="199"/>
      <c r="J9946" s="199"/>
    </row>
    <row r="9947" spans="9:10" x14ac:dyDescent="0.25">
      <c r="I9947" s="199"/>
      <c r="J9947" s="199"/>
    </row>
    <row r="9948" spans="9:10" x14ac:dyDescent="0.25">
      <c r="I9948" s="199"/>
      <c r="J9948" s="199"/>
    </row>
    <row r="9949" spans="9:10" x14ac:dyDescent="0.25">
      <c r="I9949" s="199"/>
      <c r="J9949" s="199"/>
    </row>
    <row r="9950" spans="9:10" x14ac:dyDescent="0.25">
      <c r="I9950" s="199"/>
      <c r="J9950" s="199"/>
    </row>
    <row r="9951" spans="9:10" x14ac:dyDescent="0.25">
      <c r="I9951" s="199"/>
      <c r="J9951" s="199"/>
    </row>
    <row r="9952" spans="9:10" x14ac:dyDescent="0.25">
      <c r="I9952" s="199"/>
      <c r="J9952" s="199"/>
    </row>
    <row r="9953" spans="9:10" x14ac:dyDescent="0.25">
      <c r="I9953" s="199"/>
      <c r="J9953" s="199"/>
    </row>
    <row r="9954" spans="9:10" x14ac:dyDescent="0.25">
      <c r="I9954" s="199"/>
      <c r="J9954" s="199"/>
    </row>
    <row r="9955" spans="9:10" x14ac:dyDescent="0.25">
      <c r="I9955" s="199"/>
      <c r="J9955" s="199"/>
    </row>
    <row r="9956" spans="9:10" x14ac:dyDescent="0.25">
      <c r="I9956" s="199"/>
      <c r="J9956" s="199"/>
    </row>
    <row r="9957" spans="9:10" x14ac:dyDescent="0.25">
      <c r="I9957" s="199"/>
      <c r="J9957" s="199"/>
    </row>
    <row r="9958" spans="9:10" x14ac:dyDescent="0.25">
      <c r="I9958" s="199"/>
      <c r="J9958" s="199"/>
    </row>
    <row r="9959" spans="9:10" x14ac:dyDescent="0.25">
      <c r="I9959" s="199"/>
      <c r="J9959" s="199"/>
    </row>
    <row r="9960" spans="9:10" x14ac:dyDescent="0.25">
      <c r="I9960" s="199"/>
      <c r="J9960" s="199"/>
    </row>
    <row r="9961" spans="9:10" x14ac:dyDescent="0.25">
      <c r="I9961" s="199"/>
      <c r="J9961" s="199"/>
    </row>
    <row r="9962" spans="9:10" x14ac:dyDescent="0.25">
      <c r="I9962" s="199"/>
      <c r="J9962" s="199"/>
    </row>
    <row r="9963" spans="9:10" x14ac:dyDescent="0.25">
      <c r="I9963" s="199"/>
      <c r="J9963" s="199"/>
    </row>
    <row r="9964" spans="9:10" x14ac:dyDescent="0.25">
      <c r="I9964" s="199"/>
      <c r="J9964" s="199"/>
    </row>
    <row r="9965" spans="9:10" x14ac:dyDescent="0.25">
      <c r="I9965" s="199"/>
      <c r="J9965" s="199"/>
    </row>
    <row r="9966" spans="9:10" x14ac:dyDescent="0.25">
      <c r="I9966" s="199"/>
      <c r="J9966" s="199"/>
    </row>
    <row r="9967" spans="9:10" x14ac:dyDescent="0.25">
      <c r="I9967" s="199"/>
      <c r="J9967" s="199"/>
    </row>
    <row r="9968" spans="9:10" x14ac:dyDescent="0.25">
      <c r="I9968" s="199"/>
      <c r="J9968" s="199"/>
    </row>
    <row r="9969" spans="9:10" x14ac:dyDescent="0.25">
      <c r="I9969" s="199"/>
      <c r="J9969" s="199"/>
    </row>
    <row r="9970" spans="9:10" x14ac:dyDescent="0.25">
      <c r="I9970" s="199"/>
      <c r="J9970" s="199"/>
    </row>
    <row r="9971" spans="9:10" x14ac:dyDescent="0.25">
      <c r="I9971" s="199"/>
      <c r="J9971" s="199"/>
    </row>
    <row r="9972" spans="9:10" x14ac:dyDescent="0.25">
      <c r="I9972" s="199"/>
      <c r="J9972" s="199"/>
    </row>
    <row r="9973" spans="9:10" x14ac:dyDescent="0.25">
      <c r="I9973" s="199"/>
      <c r="J9973" s="199"/>
    </row>
    <row r="9974" spans="9:10" x14ac:dyDescent="0.25">
      <c r="I9974" s="199"/>
      <c r="J9974" s="199"/>
    </row>
    <row r="9975" spans="9:10" x14ac:dyDescent="0.25">
      <c r="I9975" s="199"/>
      <c r="J9975" s="199"/>
    </row>
    <row r="9976" spans="9:10" x14ac:dyDescent="0.25">
      <c r="I9976" s="199"/>
      <c r="J9976" s="199"/>
    </row>
    <row r="9977" spans="9:10" x14ac:dyDescent="0.25">
      <c r="I9977" s="199"/>
      <c r="J9977" s="199"/>
    </row>
    <row r="9978" spans="9:10" x14ac:dyDescent="0.25">
      <c r="I9978" s="199"/>
      <c r="J9978" s="199"/>
    </row>
    <row r="9979" spans="9:10" x14ac:dyDescent="0.25">
      <c r="I9979" s="199"/>
      <c r="J9979" s="199"/>
    </row>
    <row r="9980" spans="9:10" x14ac:dyDescent="0.25">
      <c r="I9980" s="199"/>
      <c r="J9980" s="199"/>
    </row>
    <row r="9981" spans="9:10" x14ac:dyDescent="0.25">
      <c r="I9981" s="199"/>
      <c r="J9981" s="199"/>
    </row>
    <row r="9982" spans="9:10" x14ac:dyDescent="0.25">
      <c r="I9982" s="199"/>
      <c r="J9982" s="199"/>
    </row>
    <row r="9983" spans="9:10" x14ac:dyDescent="0.25">
      <c r="I9983" s="199"/>
      <c r="J9983" s="199"/>
    </row>
    <row r="9984" spans="9:10" x14ac:dyDescent="0.25">
      <c r="I9984" s="199"/>
      <c r="J9984" s="199"/>
    </row>
    <row r="9985" spans="9:10" x14ac:dyDescent="0.25">
      <c r="I9985" s="199"/>
      <c r="J9985" s="199"/>
    </row>
    <row r="9986" spans="9:10" x14ac:dyDescent="0.25">
      <c r="I9986" s="199"/>
      <c r="J9986" s="199"/>
    </row>
    <row r="9987" spans="9:10" x14ac:dyDescent="0.25">
      <c r="I9987" s="199"/>
      <c r="J9987" s="199"/>
    </row>
    <row r="9988" spans="9:10" x14ac:dyDescent="0.25">
      <c r="I9988" s="199"/>
      <c r="J9988" s="199"/>
    </row>
    <row r="9989" spans="9:10" x14ac:dyDescent="0.25">
      <c r="I9989" s="199"/>
      <c r="J9989" s="199"/>
    </row>
    <row r="9990" spans="9:10" x14ac:dyDescent="0.25">
      <c r="I9990" s="199"/>
      <c r="J9990" s="199"/>
    </row>
    <row r="9991" spans="9:10" x14ac:dyDescent="0.25">
      <c r="I9991" s="199"/>
      <c r="J9991" s="199"/>
    </row>
    <row r="9992" spans="9:10" x14ac:dyDescent="0.25">
      <c r="I9992" s="199"/>
      <c r="J9992" s="199"/>
    </row>
    <row r="9993" spans="9:10" x14ac:dyDescent="0.25">
      <c r="I9993" s="199"/>
      <c r="J9993" s="199"/>
    </row>
    <row r="9994" spans="9:10" x14ac:dyDescent="0.25">
      <c r="I9994" s="199"/>
      <c r="J9994" s="199"/>
    </row>
    <row r="9995" spans="9:10" x14ac:dyDescent="0.25">
      <c r="I9995" s="199"/>
      <c r="J9995" s="199"/>
    </row>
    <row r="9996" spans="9:10" x14ac:dyDescent="0.25">
      <c r="I9996" s="199"/>
      <c r="J9996" s="199"/>
    </row>
    <row r="9997" spans="9:10" x14ac:dyDescent="0.25">
      <c r="I9997" s="199"/>
      <c r="J9997" s="199"/>
    </row>
    <row r="9998" spans="9:10" x14ac:dyDescent="0.25">
      <c r="I9998" s="199"/>
      <c r="J9998" s="199"/>
    </row>
    <row r="9999" spans="9:10" x14ac:dyDescent="0.25">
      <c r="I9999" s="199"/>
      <c r="J9999" s="199"/>
    </row>
    <row r="10000" spans="9:10" x14ac:dyDescent="0.25">
      <c r="I10000" s="199"/>
      <c r="J10000" s="199"/>
    </row>
    <row r="10001" spans="9:10" x14ac:dyDescent="0.25">
      <c r="I10001" s="199"/>
      <c r="J10001" s="199"/>
    </row>
    <row r="10002" spans="9:10" x14ac:dyDescent="0.25">
      <c r="I10002" s="199"/>
      <c r="J10002" s="199"/>
    </row>
    <row r="10003" spans="9:10" x14ac:dyDescent="0.25">
      <c r="I10003" s="199"/>
      <c r="J10003" s="199"/>
    </row>
    <row r="10004" spans="9:10" x14ac:dyDescent="0.25">
      <c r="I10004" s="199"/>
      <c r="J10004" s="199"/>
    </row>
    <row r="10005" spans="9:10" x14ac:dyDescent="0.25">
      <c r="I10005" s="199"/>
      <c r="J10005" s="199"/>
    </row>
    <row r="10006" spans="9:10" x14ac:dyDescent="0.25">
      <c r="I10006" s="199"/>
      <c r="J10006" s="199"/>
    </row>
    <row r="10007" spans="9:10" x14ac:dyDescent="0.25">
      <c r="I10007" s="199"/>
      <c r="J10007" s="199"/>
    </row>
    <row r="10008" spans="9:10" x14ac:dyDescent="0.25">
      <c r="I10008" s="199"/>
      <c r="J10008" s="199"/>
    </row>
    <row r="10009" spans="9:10" x14ac:dyDescent="0.25">
      <c r="I10009" s="199"/>
      <c r="J10009" s="199"/>
    </row>
    <row r="10010" spans="9:10" x14ac:dyDescent="0.25">
      <c r="I10010" s="199"/>
      <c r="J10010" s="199"/>
    </row>
    <row r="10011" spans="9:10" x14ac:dyDescent="0.25">
      <c r="I10011" s="199"/>
      <c r="J10011" s="199"/>
    </row>
    <row r="10012" spans="9:10" x14ac:dyDescent="0.25">
      <c r="I10012" s="199"/>
      <c r="J10012" s="199"/>
    </row>
    <row r="10013" spans="9:10" x14ac:dyDescent="0.25">
      <c r="I10013" s="199"/>
      <c r="J10013" s="199"/>
    </row>
    <row r="10014" spans="9:10" x14ac:dyDescent="0.25">
      <c r="I10014" s="199"/>
      <c r="J10014" s="199"/>
    </row>
    <row r="10015" spans="9:10" x14ac:dyDescent="0.25">
      <c r="I10015" s="199"/>
      <c r="J10015" s="199"/>
    </row>
    <row r="10016" spans="9:10" x14ac:dyDescent="0.25">
      <c r="I10016" s="199"/>
      <c r="J10016" s="199"/>
    </row>
    <row r="10017" spans="9:10" x14ac:dyDescent="0.25">
      <c r="I10017" s="199"/>
      <c r="J10017" s="199"/>
    </row>
    <row r="10018" spans="9:10" x14ac:dyDescent="0.25">
      <c r="I10018" s="199"/>
      <c r="J10018" s="199"/>
    </row>
    <row r="10019" spans="9:10" x14ac:dyDescent="0.25">
      <c r="I10019" s="199"/>
      <c r="J10019" s="199"/>
    </row>
    <row r="10020" spans="9:10" x14ac:dyDescent="0.25">
      <c r="I10020" s="199"/>
      <c r="J10020" s="199"/>
    </row>
    <row r="10021" spans="9:10" x14ac:dyDescent="0.25">
      <c r="I10021" s="199"/>
      <c r="J10021" s="199"/>
    </row>
    <row r="10022" spans="9:10" x14ac:dyDescent="0.25">
      <c r="I10022" s="199"/>
      <c r="J10022" s="199"/>
    </row>
    <row r="10023" spans="9:10" x14ac:dyDescent="0.25">
      <c r="I10023" s="199"/>
      <c r="J10023" s="199"/>
    </row>
    <row r="10024" spans="9:10" x14ac:dyDescent="0.25">
      <c r="I10024" s="199"/>
      <c r="J10024" s="199"/>
    </row>
    <row r="10025" spans="9:10" x14ac:dyDescent="0.25">
      <c r="I10025" s="199"/>
      <c r="J10025" s="199"/>
    </row>
    <row r="10026" spans="9:10" x14ac:dyDescent="0.25">
      <c r="I10026" s="199"/>
      <c r="J10026" s="199"/>
    </row>
    <row r="10027" spans="9:10" x14ac:dyDescent="0.25">
      <c r="I10027" s="199"/>
      <c r="J10027" s="199"/>
    </row>
    <row r="10028" spans="9:10" x14ac:dyDescent="0.25">
      <c r="I10028" s="199"/>
      <c r="J10028" s="199"/>
    </row>
    <row r="10029" spans="9:10" x14ac:dyDescent="0.25">
      <c r="I10029" s="199"/>
      <c r="J10029" s="199"/>
    </row>
    <row r="10030" spans="9:10" x14ac:dyDescent="0.25">
      <c r="I10030" s="199"/>
      <c r="J10030" s="199"/>
    </row>
    <row r="10031" spans="9:10" x14ac:dyDescent="0.25">
      <c r="I10031" s="199"/>
      <c r="J10031" s="199"/>
    </row>
    <row r="10032" spans="9:10" x14ac:dyDescent="0.25">
      <c r="I10032" s="199"/>
      <c r="J10032" s="199"/>
    </row>
    <row r="10033" spans="9:10" x14ac:dyDescent="0.25">
      <c r="I10033" s="199"/>
      <c r="J10033" s="199"/>
    </row>
    <row r="10034" spans="9:10" x14ac:dyDescent="0.25">
      <c r="I10034" s="199"/>
      <c r="J10034" s="199"/>
    </row>
    <row r="10035" spans="9:10" x14ac:dyDescent="0.25">
      <c r="I10035" s="199"/>
      <c r="J10035" s="199"/>
    </row>
    <row r="10036" spans="9:10" x14ac:dyDescent="0.25">
      <c r="I10036" s="199"/>
      <c r="J10036" s="199"/>
    </row>
    <row r="10037" spans="9:10" x14ac:dyDescent="0.25">
      <c r="I10037" s="199"/>
      <c r="J10037" s="199"/>
    </row>
    <row r="10038" spans="9:10" x14ac:dyDescent="0.25">
      <c r="I10038" s="199"/>
      <c r="J10038" s="199"/>
    </row>
    <row r="10039" spans="9:10" x14ac:dyDescent="0.25">
      <c r="I10039" s="199"/>
      <c r="J10039" s="199"/>
    </row>
    <row r="10040" spans="9:10" x14ac:dyDescent="0.25">
      <c r="I10040" s="199"/>
      <c r="J10040" s="199"/>
    </row>
    <row r="10041" spans="9:10" x14ac:dyDescent="0.25">
      <c r="I10041" s="199"/>
      <c r="J10041" s="199"/>
    </row>
    <row r="10042" spans="9:10" x14ac:dyDescent="0.25">
      <c r="I10042" s="199"/>
      <c r="J10042" s="199"/>
    </row>
    <row r="10043" spans="9:10" x14ac:dyDescent="0.25">
      <c r="I10043" s="199"/>
      <c r="J10043" s="199"/>
    </row>
    <row r="10044" spans="9:10" x14ac:dyDescent="0.25">
      <c r="I10044" s="199"/>
      <c r="J10044" s="199"/>
    </row>
    <row r="10045" spans="9:10" x14ac:dyDescent="0.25">
      <c r="I10045" s="199"/>
      <c r="J10045" s="199"/>
    </row>
    <row r="10046" spans="9:10" x14ac:dyDescent="0.25">
      <c r="I10046" s="199"/>
      <c r="J10046" s="199"/>
    </row>
    <row r="10047" spans="9:10" x14ac:dyDescent="0.25">
      <c r="I10047" s="199"/>
      <c r="J10047" s="199"/>
    </row>
    <row r="10048" spans="9:10" x14ac:dyDescent="0.25">
      <c r="I10048" s="199"/>
      <c r="J10048" s="199"/>
    </row>
    <row r="10049" spans="9:10" x14ac:dyDescent="0.25">
      <c r="I10049" s="199"/>
      <c r="J10049" s="199"/>
    </row>
    <row r="10050" spans="9:10" x14ac:dyDescent="0.25">
      <c r="I10050" s="199"/>
      <c r="J10050" s="199"/>
    </row>
    <row r="10051" spans="9:10" x14ac:dyDescent="0.25">
      <c r="I10051" s="199"/>
      <c r="J10051" s="199"/>
    </row>
    <row r="10052" spans="9:10" x14ac:dyDescent="0.25">
      <c r="I10052" s="199"/>
      <c r="J10052" s="199"/>
    </row>
    <row r="10053" spans="9:10" x14ac:dyDescent="0.25">
      <c r="I10053" s="199"/>
      <c r="J10053" s="199"/>
    </row>
    <row r="10054" spans="9:10" x14ac:dyDescent="0.25">
      <c r="I10054" s="199"/>
      <c r="J10054" s="199"/>
    </row>
    <row r="10055" spans="9:10" x14ac:dyDescent="0.25">
      <c r="I10055" s="199"/>
      <c r="J10055" s="199"/>
    </row>
    <row r="10056" spans="9:10" x14ac:dyDescent="0.25">
      <c r="I10056" s="199"/>
      <c r="J10056" s="199"/>
    </row>
    <row r="10057" spans="9:10" x14ac:dyDescent="0.25">
      <c r="I10057" s="199"/>
      <c r="J10057" s="199"/>
    </row>
    <row r="10058" spans="9:10" x14ac:dyDescent="0.25">
      <c r="I10058" s="199"/>
      <c r="J10058" s="199"/>
    </row>
    <row r="10059" spans="9:10" x14ac:dyDescent="0.25">
      <c r="I10059" s="199"/>
      <c r="J10059" s="199"/>
    </row>
    <row r="10060" spans="9:10" x14ac:dyDescent="0.25">
      <c r="I10060" s="199"/>
      <c r="J10060" s="199"/>
    </row>
    <row r="10061" spans="9:10" x14ac:dyDescent="0.25">
      <c r="I10061" s="199"/>
      <c r="J10061" s="199"/>
    </row>
    <row r="10062" spans="9:10" x14ac:dyDescent="0.25">
      <c r="I10062" s="199"/>
      <c r="J10062" s="199"/>
    </row>
    <row r="10063" spans="9:10" x14ac:dyDescent="0.25">
      <c r="I10063" s="199"/>
      <c r="J10063" s="199"/>
    </row>
    <row r="10064" spans="9:10" x14ac:dyDescent="0.25">
      <c r="I10064" s="199"/>
      <c r="J10064" s="199"/>
    </row>
    <row r="10065" spans="9:10" x14ac:dyDescent="0.25">
      <c r="I10065" s="199"/>
      <c r="J10065" s="199"/>
    </row>
    <row r="10066" spans="9:10" x14ac:dyDescent="0.25">
      <c r="I10066" s="199"/>
      <c r="J10066" s="199"/>
    </row>
    <row r="10067" spans="9:10" x14ac:dyDescent="0.25">
      <c r="I10067" s="199"/>
      <c r="J10067" s="199"/>
    </row>
    <row r="10068" spans="9:10" x14ac:dyDescent="0.25">
      <c r="I10068" s="199"/>
      <c r="J10068" s="199"/>
    </row>
    <row r="10069" spans="9:10" x14ac:dyDescent="0.25">
      <c r="I10069" s="199"/>
      <c r="J10069" s="199"/>
    </row>
    <row r="10070" spans="9:10" x14ac:dyDescent="0.25">
      <c r="I10070" s="199"/>
      <c r="J10070" s="199"/>
    </row>
    <row r="10071" spans="9:10" x14ac:dyDescent="0.25">
      <c r="I10071" s="199"/>
      <c r="J10071" s="199"/>
    </row>
    <row r="10072" spans="9:10" x14ac:dyDescent="0.25">
      <c r="I10072" s="199"/>
      <c r="J10072" s="199"/>
    </row>
    <row r="10073" spans="9:10" x14ac:dyDescent="0.25">
      <c r="I10073" s="199"/>
      <c r="J10073" s="199"/>
    </row>
    <row r="10074" spans="9:10" x14ac:dyDescent="0.25">
      <c r="I10074" s="199"/>
      <c r="J10074" s="199"/>
    </row>
    <row r="10075" spans="9:10" x14ac:dyDescent="0.25">
      <c r="I10075" s="199"/>
      <c r="J10075" s="199"/>
    </row>
    <row r="10076" spans="9:10" x14ac:dyDescent="0.25">
      <c r="I10076" s="199"/>
      <c r="J10076" s="199"/>
    </row>
    <row r="10077" spans="9:10" x14ac:dyDescent="0.25">
      <c r="I10077" s="199"/>
      <c r="J10077" s="199"/>
    </row>
    <row r="10078" spans="9:10" x14ac:dyDescent="0.25">
      <c r="I10078" s="199"/>
      <c r="J10078" s="199"/>
    </row>
    <row r="10079" spans="9:10" x14ac:dyDescent="0.25">
      <c r="I10079" s="199"/>
      <c r="J10079" s="199"/>
    </row>
    <row r="10080" spans="9:10" x14ac:dyDescent="0.25">
      <c r="I10080" s="199"/>
      <c r="J10080" s="199"/>
    </row>
    <row r="10081" spans="9:10" x14ac:dyDescent="0.25">
      <c r="I10081" s="199"/>
      <c r="J10081" s="199"/>
    </row>
    <row r="10082" spans="9:10" x14ac:dyDescent="0.25">
      <c r="I10082" s="199"/>
      <c r="J10082" s="199"/>
    </row>
    <row r="10083" spans="9:10" x14ac:dyDescent="0.25">
      <c r="I10083" s="199"/>
      <c r="J10083" s="199"/>
    </row>
    <row r="10084" spans="9:10" x14ac:dyDescent="0.25">
      <c r="I10084" s="199"/>
      <c r="J10084" s="199"/>
    </row>
    <row r="10085" spans="9:10" x14ac:dyDescent="0.25">
      <c r="I10085" s="199"/>
      <c r="J10085" s="199"/>
    </row>
    <row r="10086" spans="9:10" x14ac:dyDescent="0.25">
      <c r="I10086" s="199"/>
      <c r="J10086" s="199"/>
    </row>
    <row r="10087" spans="9:10" x14ac:dyDescent="0.25">
      <c r="I10087" s="199"/>
      <c r="J10087" s="199"/>
    </row>
    <row r="10088" spans="9:10" x14ac:dyDescent="0.25">
      <c r="I10088" s="199"/>
      <c r="J10088" s="199"/>
    </row>
    <row r="10089" spans="9:10" x14ac:dyDescent="0.25">
      <c r="I10089" s="199"/>
      <c r="J10089" s="199"/>
    </row>
    <row r="10090" spans="9:10" x14ac:dyDescent="0.25">
      <c r="I10090" s="199"/>
      <c r="J10090" s="199"/>
    </row>
    <row r="10091" spans="9:10" x14ac:dyDescent="0.25">
      <c r="I10091" s="199"/>
      <c r="J10091" s="199"/>
    </row>
    <row r="10092" spans="9:10" x14ac:dyDescent="0.25">
      <c r="I10092" s="199"/>
      <c r="J10092" s="199"/>
    </row>
    <row r="10093" spans="9:10" x14ac:dyDescent="0.25">
      <c r="I10093" s="199"/>
      <c r="J10093" s="199"/>
    </row>
    <row r="10094" spans="9:10" x14ac:dyDescent="0.25">
      <c r="I10094" s="199"/>
      <c r="J10094" s="199"/>
    </row>
    <row r="10095" spans="9:10" x14ac:dyDescent="0.25">
      <c r="I10095" s="199"/>
      <c r="J10095" s="199"/>
    </row>
    <row r="10096" spans="9:10" x14ac:dyDescent="0.25">
      <c r="I10096" s="199"/>
      <c r="J10096" s="199"/>
    </row>
    <row r="10097" spans="9:10" x14ac:dyDescent="0.25">
      <c r="I10097" s="199"/>
      <c r="J10097" s="199"/>
    </row>
    <row r="10098" spans="9:10" x14ac:dyDescent="0.25">
      <c r="I10098" s="199"/>
      <c r="J10098" s="199"/>
    </row>
    <row r="10099" spans="9:10" x14ac:dyDescent="0.25">
      <c r="I10099" s="199"/>
      <c r="J10099" s="199"/>
    </row>
    <row r="10100" spans="9:10" x14ac:dyDescent="0.25">
      <c r="I10100" s="199"/>
      <c r="J10100" s="199"/>
    </row>
    <row r="10101" spans="9:10" x14ac:dyDescent="0.25">
      <c r="I10101" s="199"/>
      <c r="J10101" s="199"/>
    </row>
    <row r="10102" spans="9:10" x14ac:dyDescent="0.25">
      <c r="I10102" s="199"/>
      <c r="J10102" s="199"/>
    </row>
    <row r="10103" spans="9:10" x14ac:dyDescent="0.25">
      <c r="I10103" s="199"/>
      <c r="J10103" s="199"/>
    </row>
    <row r="10104" spans="9:10" x14ac:dyDescent="0.25">
      <c r="I10104" s="199"/>
      <c r="J10104" s="199"/>
    </row>
    <row r="10105" spans="9:10" x14ac:dyDescent="0.25">
      <c r="I10105" s="199"/>
      <c r="J10105" s="199"/>
    </row>
    <row r="10106" spans="9:10" x14ac:dyDescent="0.25">
      <c r="I10106" s="199"/>
      <c r="J10106" s="199"/>
    </row>
    <row r="10107" spans="9:10" x14ac:dyDescent="0.25">
      <c r="I10107" s="199"/>
      <c r="J10107" s="199"/>
    </row>
    <row r="10108" spans="9:10" x14ac:dyDescent="0.25">
      <c r="I10108" s="199"/>
      <c r="J10108" s="199"/>
    </row>
    <row r="10109" spans="9:10" x14ac:dyDescent="0.25">
      <c r="I10109" s="199"/>
      <c r="J10109" s="199"/>
    </row>
    <row r="10110" spans="9:10" x14ac:dyDescent="0.25">
      <c r="I10110" s="199"/>
      <c r="J10110" s="199"/>
    </row>
    <row r="10111" spans="9:10" x14ac:dyDescent="0.25">
      <c r="I10111" s="199"/>
      <c r="J10111" s="199"/>
    </row>
    <row r="10112" spans="9:10" x14ac:dyDescent="0.25">
      <c r="I10112" s="199"/>
      <c r="J10112" s="199"/>
    </row>
    <row r="10113" spans="9:10" x14ac:dyDescent="0.25">
      <c r="I10113" s="199"/>
      <c r="J10113" s="199"/>
    </row>
    <row r="10114" spans="9:10" x14ac:dyDescent="0.25">
      <c r="I10114" s="199"/>
      <c r="J10114" s="199"/>
    </row>
    <row r="10115" spans="9:10" x14ac:dyDescent="0.25">
      <c r="I10115" s="199"/>
      <c r="J10115" s="199"/>
    </row>
    <row r="10116" spans="9:10" x14ac:dyDescent="0.25">
      <c r="I10116" s="199"/>
      <c r="J10116" s="199"/>
    </row>
    <row r="10117" spans="9:10" x14ac:dyDescent="0.25">
      <c r="I10117" s="199"/>
      <c r="J10117" s="199"/>
    </row>
    <row r="10118" spans="9:10" x14ac:dyDescent="0.25">
      <c r="I10118" s="199"/>
      <c r="J10118" s="199"/>
    </row>
    <row r="10119" spans="9:10" x14ac:dyDescent="0.25">
      <c r="I10119" s="199"/>
      <c r="J10119" s="199"/>
    </row>
    <row r="10120" spans="9:10" x14ac:dyDescent="0.25">
      <c r="I10120" s="199"/>
      <c r="J10120" s="199"/>
    </row>
    <row r="10121" spans="9:10" x14ac:dyDescent="0.25">
      <c r="I10121" s="199"/>
      <c r="J10121" s="199"/>
    </row>
    <row r="10122" spans="9:10" x14ac:dyDescent="0.25">
      <c r="I10122" s="199"/>
      <c r="J10122" s="199"/>
    </row>
    <row r="10123" spans="9:10" x14ac:dyDescent="0.25">
      <c r="I10123" s="199"/>
      <c r="J10123" s="199"/>
    </row>
    <row r="10124" spans="9:10" x14ac:dyDescent="0.25">
      <c r="I10124" s="199"/>
      <c r="J10124" s="199"/>
    </row>
    <row r="10125" spans="9:10" x14ac:dyDescent="0.25">
      <c r="I10125" s="199"/>
      <c r="J10125" s="199"/>
    </row>
    <row r="10126" spans="9:10" x14ac:dyDescent="0.25">
      <c r="I10126" s="199"/>
      <c r="J10126" s="199"/>
    </row>
    <row r="10127" spans="9:10" x14ac:dyDescent="0.25">
      <c r="I10127" s="199"/>
      <c r="J10127" s="199"/>
    </row>
    <row r="10128" spans="9:10" x14ac:dyDescent="0.25">
      <c r="I10128" s="199"/>
      <c r="J10128" s="199"/>
    </row>
    <row r="10129" spans="9:10" x14ac:dyDescent="0.25">
      <c r="I10129" s="199"/>
      <c r="J10129" s="199"/>
    </row>
    <row r="10130" spans="9:10" x14ac:dyDescent="0.25">
      <c r="I10130" s="199"/>
      <c r="J10130" s="199"/>
    </row>
    <row r="10131" spans="9:10" x14ac:dyDescent="0.25">
      <c r="I10131" s="199"/>
      <c r="J10131" s="199"/>
    </row>
    <row r="10132" spans="9:10" x14ac:dyDescent="0.25">
      <c r="I10132" s="199"/>
      <c r="J10132" s="199"/>
    </row>
    <row r="10133" spans="9:10" x14ac:dyDescent="0.25">
      <c r="I10133" s="199"/>
      <c r="J10133" s="199"/>
    </row>
    <row r="10134" spans="9:10" x14ac:dyDescent="0.25">
      <c r="I10134" s="199"/>
      <c r="J10134" s="199"/>
    </row>
    <row r="10135" spans="9:10" x14ac:dyDescent="0.25">
      <c r="I10135" s="199"/>
      <c r="J10135" s="199"/>
    </row>
    <row r="10136" spans="9:10" x14ac:dyDescent="0.25">
      <c r="I10136" s="199"/>
      <c r="J10136" s="199"/>
    </row>
    <row r="10137" spans="9:10" x14ac:dyDescent="0.25">
      <c r="I10137" s="199"/>
      <c r="J10137" s="199"/>
    </row>
    <row r="10138" spans="9:10" x14ac:dyDescent="0.25">
      <c r="I10138" s="199"/>
      <c r="J10138" s="199"/>
    </row>
    <row r="10139" spans="9:10" x14ac:dyDescent="0.25">
      <c r="I10139" s="199"/>
      <c r="J10139" s="199"/>
    </row>
    <row r="10140" spans="9:10" x14ac:dyDescent="0.25">
      <c r="I10140" s="199"/>
      <c r="J10140" s="199"/>
    </row>
    <row r="10141" spans="9:10" x14ac:dyDescent="0.25">
      <c r="I10141" s="199"/>
      <c r="J10141" s="199"/>
    </row>
    <row r="10142" spans="9:10" x14ac:dyDescent="0.25">
      <c r="I10142" s="199"/>
      <c r="J10142" s="199"/>
    </row>
    <row r="10143" spans="9:10" x14ac:dyDescent="0.25">
      <c r="I10143" s="199"/>
      <c r="J10143" s="199"/>
    </row>
    <row r="10144" spans="9:10" x14ac:dyDescent="0.25">
      <c r="I10144" s="199"/>
      <c r="J10144" s="199"/>
    </row>
    <row r="10145" spans="9:10" x14ac:dyDescent="0.25">
      <c r="I10145" s="199"/>
      <c r="J10145" s="199"/>
    </row>
    <row r="10146" spans="9:10" x14ac:dyDescent="0.25">
      <c r="I10146" s="199"/>
      <c r="J10146" s="199"/>
    </row>
    <row r="10147" spans="9:10" x14ac:dyDescent="0.25">
      <c r="I10147" s="199"/>
      <c r="J10147" s="199"/>
    </row>
    <row r="10148" spans="9:10" x14ac:dyDescent="0.25">
      <c r="I10148" s="199"/>
      <c r="J10148" s="199"/>
    </row>
    <row r="10149" spans="9:10" x14ac:dyDescent="0.25">
      <c r="I10149" s="199"/>
      <c r="J10149" s="199"/>
    </row>
    <row r="10150" spans="9:10" x14ac:dyDescent="0.25">
      <c r="I10150" s="199"/>
      <c r="J10150" s="199"/>
    </row>
    <row r="10151" spans="9:10" x14ac:dyDescent="0.25">
      <c r="I10151" s="199"/>
      <c r="J10151" s="199"/>
    </row>
    <row r="10152" spans="9:10" x14ac:dyDescent="0.25">
      <c r="I10152" s="199"/>
      <c r="J10152" s="199"/>
    </row>
    <row r="10153" spans="9:10" x14ac:dyDescent="0.25">
      <c r="I10153" s="199"/>
      <c r="J10153" s="199"/>
    </row>
    <row r="10154" spans="9:10" x14ac:dyDescent="0.25">
      <c r="I10154" s="199"/>
      <c r="J10154" s="199"/>
    </row>
    <row r="10155" spans="9:10" x14ac:dyDescent="0.25">
      <c r="I10155" s="199"/>
      <c r="J10155" s="199"/>
    </row>
    <row r="10156" spans="9:10" x14ac:dyDescent="0.25">
      <c r="I10156" s="199"/>
      <c r="J10156" s="199"/>
    </row>
    <row r="10157" spans="9:10" x14ac:dyDescent="0.25">
      <c r="I10157" s="199"/>
      <c r="J10157" s="199"/>
    </row>
    <row r="10158" spans="9:10" x14ac:dyDescent="0.25">
      <c r="I10158" s="199"/>
      <c r="J10158" s="199"/>
    </row>
    <row r="10159" spans="9:10" x14ac:dyDescent="0.25">
      <c r="I10159" s="199"/>
      <c r="J10159" s="199"/>
    </row>
    <row r="10160" spans="9:10" x14ac:dyDescent="0.25">
      <c r="I10160" s="199"/>
      <c r="J10160" s="199"/>
    </row>
    <row r="10161" spans="9:10" x14ac:dyDescent="0.25">
      <c r="I10161" s="199"/>
      <c r="J10161" s="199"/>
    </row>
    <row r="10162" spans="9:10" x14ac:dyDescent="0.25">
      <c r="I10162" s="199"/>
      <c r="J10162" s="199"/>
    </row>
    <row r="10163" spans="9:10" x14ac:dyDescent="0.25">
      <c r="I10163" s="199"/>
      <c r="J10163" s="199"/>
    </row>
    <row r="10164" spans="9:10" x14ac:dyDescent="0.25">
      <c r="I10164" s="199"/>
      <c r="J10164" s="199"/>
    </row>
    <row r="10165" spans="9:10" x14ac:dyDescent="0.25">
      <c r="I10165" s="199"/>
      <c r="J10165" s="199"/>
    </row>
    <row r="10166" spans="9:10" x14ac:dyDescent="0.25">
      <c r="I10166" s="199"/>
      <c r="J10166" s="199"/>
    </row>
    <row r="10167" spans="9:10" x14ac:dyDescent="0.25">
      <c r="I10167" s="199"/>
      <c r="J10167" s="199"/>
    </row>
    <row r="10168" spans="9:10" x14ac:dyDescent="0.25">
      <c r="I10168" s="199"/>
      <c r="J10168" s="199"/>
    </row>
    <row r="10169" spans="9:10" x14ac:dyDescent="0.25">
      <c r="I10169" s="199"/>
      <c r="J10169" s="199"/>
    </row>
    <row r="10170" spans="9:10" x14ac:dyDescent="0.25">
      <c r="I10170" s="199"/>
      <c r="J10170" s="199"/>
    </row>
    <row r="10171" spans="9:10" x14ac:dyDescent="0.25">
      <c r="I10171" s="199"/>
      <c r="J10171" s="199"/>
    </row>
    <row r="10172" spans="9:10" x14ac:dyDescent="0.25">
      <c r="I10172" s="199"/>
      <c r="J10172" s="199"/>
    </row>
    <row r="10173" spans="9:10" x14ac:dyDescent="0.25">
      <c r="I10173" s="199"/>
      <c r="J10173" s="199"/>
    </row>
    <row r="10174" spans="9:10" x14ac:dyDescent="0.25">
      <c r="I10174" s="199"/>
      <c r="J10174" s="199"/>
    </row>
    <row r="10175" spans="9:10" x14ac:dyDescent="0.25">
      <c r="I10175" s="199"/>
      <c r="J10175" s="199"/>
    </row>
    <row r="10176" spans="9:10" x14ac:dyDescent="0.25">
      <c r="I10176" s="199"/>
      <c r="J10176" s="199"/>
    </row>
    <row r="10177" spans="9:10" x14ac:dyDescent="0.25">
      <c r="I10177" s="199"/>
      <c r="J10177" s="199"/>
    </row>
    <row r="10178" spans="9:10" x14ac:dyDescent="0.25">
      <c r="I10178" s="199"/>
      <c r="J10178" s="199"/>
    </row>
    <row r="10179" spans="9:10" x14ac:dyDescent="0.25">
      <c r="I10179" s="199"/>
      <c r="J10179" s="199"/>
    </row>
    <row r="10180" spans="9:10" x14ac:dyDescent="0.25">
      <c r="I10180" s="199"/>
      <c r="J10180" s="199"/>
    </row>
    <row r="10181" spans="9:10" x14ac:dyDescent="0.25">
      <c r="I10181" s="199"/>
      <c r="J10181" s="199"/>
    </row>
    <row r="10182" spans="9:10" x14ac:dyDescent="0.25">
      <c r="I10182" s="199"/>
      <c r="J10182" s="199"/>
    </row>
    <row r="10183" spans="9:10" x14ac:dyDescent="0.25">
      <c r="I10183" s="199"/>
      <c r="J10183" s="199"/>
    </row>
    <row r="10184" spans="9:10" x14ac:dyDescent="0.25">
      <c r="I10184" s="199"/>
      <c r="J10184" s="199"/>
    </row>
    <row r="10185" spans="9:10" x14ac:dyDescent="0.25">
      <c r="I10185" s="199"/>
      <c r="J10185" s="199"/>
    </row>
    <row r="10186" spans="9:10" x14ac:dyDescent="0.25">
      <c r="I10186" s="199"/>
      <c r="J10186" s="199"/>
    </row>
    <row r="10187" spans="9:10" x14ac:dyDescent="0.25">
      <c r="I10187" s="199"/>
      <c r="J10187" s="199"/>
    </row>
    <row r="10188" spans="9:10" x14ac:dyDescent="0.25">
      <c r="I10188" s="199"/>
      <c r="J10188" s="199"/>
    </row>
    <row r="10189" spans="9:10" x14ac:dyDescent="0.25">
      <c r="I10189" s="199"/>
      <c r="J10189" s="199"/>
    </row>
    <row r="10190" spans="9:10" x14ac:dyDescent="0.25">
      <c r="I10190" s="199"/>
      <c r="J10190" s="199"/>
    </row>
    <row r="10191" spans="9:10" x14ac:dyDescent="0.25">
      <c r="I10191" s="199"/>
      <c r="J10191" s="199"/>
    </row>
    <row r="10192" spans="9:10" x14ac:dyDescent="0.25">
      <c r="I10192" s="199"/>
      <c r="J10192" s="199"/>
    </row>
    <row r="10193" spans="9:10" x14ac:dyDescent="0.25">
      <c r="I10193" s="199"/>
      <c r="J10193" s="199"/>
    </row>
    <row r="10194" spans="9:10" x14ac:dyDescent="0.25">
      <c r="I10194" s="199"/>
      <c r="J10194" s="199"/>
    </row>
    <row r="10195" spans="9:10" x14ac:dyDescent="0.25">
      <c r="I10195" s="199"/>
      <c r="J10195" s="199"/>
    </row>
    <row r="10196" spans="9:10" x14ac:dyDescent="0.25">
      <c r="I10196" s="199"/>
      <c r="J10196" s="199"/>
    </row>
    <row r="10197" spans="9:10" x14ac:dyDescent="0.25">
      <c r="I10197" s="199"/>
      <c r="J10197" s="199"/>
    </row>
    <row r="10198" spans="9:10" x14ac:dyDescent="0.25">
      <c r="I10198" s="199"/>
      <c r="J10198" s="199"/>
    </row>
    <row r="10199" spans="9:10" x14ac:dyDescent="0.25">
      <c r="I10199" s="199"/>
      <c r="J10199" s="199"/>
    </row>
    <row r="10200" spans="9:10" x14ac:dyDescent="0.25">
      <c r="I10200" s="199"/>
      <c r="J10200" s="199"/>
    </row>
    <row r="10201" spans="9:10" x14ac:dyDescent="0.25">
      <c r="I10201" s="199"/>
      <c r="J10201" s="199"/>
    </row>
    <row r="10202" spans="9:10" x14ac:dyDescent="0.25">
      <c r="I10202" s="199"/>
      <c r="J10202" s="199"/>
    </row>
    <row r="10203" spans="9:10" x14ac:dyDescent="0.25">
      <c r="I10203" s="199"/>
      <c r="J10203" s="199"/>
    </row>
    <row r="10204" spans="9:10" x14ac:dyDescent="0.25">
      <c r="I10204" s="199"/>
      <c r="J10204" s="199"/>
    </row>
    <row r="10205" spans="9:10" x14ac:dyDescent="0.25">
      <c r="I10205" s="199"/>
      <c r="J10205" s="199"/>
    </row>
    <row r="10206" spans="9:10" x14ac:dyDescent="0.25">
      <c r="I10206" s="199"/>
      <c r="J10206" s="199"/>
    </row>
    <row r="10207" spans="9:10" x14ac:dyDescent="0.25">
      <c r="I10207" s="199"/>
      <c r="J10207" s="199"/>
    </row>
    <row r="10208" spans="9:10" x14ac:dyDescent="0.25">
      <c r="I10208" s="199"/>
      <c r="J10208" s="199"/>
    </row>
    <row r="10209" spans="9:10" x14ac:dyDescent="0.25">
      <c r="I10209" s="199"/>
      <c r="J10209" s="199"/>
    </row>
    <row r="10210" spans="9:10" x14ac:dyDescent="0.25">
      <c r="I10210" s="199"/>
      <c r="J10210" s="199"/>
    </row>
    <row r="10211" spans="9:10" x14ac:dyDescent="0.25">
      <c r="I10211" s="199"/>
      <c r="J10211" s="199"/>
    </row>
    <row r="10212" spans="9:10" x14ac:dyDescent="0.25">
      <c r="I10212" s="199"/>
      <c r="J10212" s="199"/>
    </row>
    <row r="10213" spans="9:10" x14ac:dyDescent="0.25">
      <c r="I10213" s="199"/>
      <c r="J10213" s="199"/>
    </row>
    <row r="10214" spans="9:10" x14ac:dyDescent="0.25">
      <c r="I10214" s="199"/>
      <c r="J10214" s="199"/>
    </row>
    <row r="10215" spans="9:10" x14ac:dyDescent="0.25">
      <c r="I10215" s="199"/>
      <c r="J10215" s="199"/>
    </row>
    <row r="10216" spans="9:10" x14ac:dyDescent="0.25">
      <c r="I10216" s="199"/>
      <c r="J10216" s="199"/>
    </row>
    <row r="10217" spans="9:10" x14ac:dyDescent="0.25">
      <c r="I10217" s="199"/>
      <c r="J10217" s="199"/>
    </row>
    <row r="10218" spans="9:10" x14ac:dyDescent="0.25">
      <c r="I10218" s="199"/>
      <c r="J10218" s="199"/>
    </row>
    <row r="10219" spans="9:10" x14ac:dyDescent="0.25">
      <c r="I10219" s="199"/>
      <c r="J10219" s="199"/>
    </row>
    <row r="10220" spans="9:10" x14ac:dyDescent="0.25">
      <c r="I10220" s="199"/>
      <c r="J10220" s="199"/>
    </row>
    <row r="10221" spans="9:10" x14ac:dyDescent="0.25">
      <c r="I10221" s="199"/>
      <c r="J10221" s="199"/>
    </row>
    <row r="10222" spans="9:10" x14ac:dyDescent="0.25">
      <c r="I10222" s="199"/>
      <c r="J10222" s="199"/>
    </row>
    <row r="10223" spans="9:10" x14ac:dyDescent="0.25">
      <c r="I10223" s="199"/>
      <c r="J10223" s="199"/>
    </row>
    <row r="10224" spans="9:10" x14ac:dyDescent="0.25">
      <c r="I10224" s="199"/>
      <c r="J10224" s="199"/>
    </row>
    <row r="10225" spans="9:10" x14ac:dyDescent="0.25">
      <c r="I10225" s="199"/>
      <c r="J10225" s="199"/>
    </row>
    <row r="10226" spans="9:10" x14ac:dyDescent="0.25">
      <c r="I10226" s="199"/>
      <c r="J10226" s="199"/>
    </row>
    <row r="10227" spans="9:10" x14ac:dyDescent="0.25">
      <c r="I10227" s="199"/>
      <c r="J10227" s="199"/>
    </row>
    <row r="10228" spans="9:10" x14ac:dyDescent="0.25">
      <c r="I10228" s="199"/>
      <c r="J10228" s="199"/>
    </row>
    <row r="10229" spans="9:10" x14ac:dyDescent="0.25">
      <c r="I10229" s="199"/>
      <c r="J10229" s="199"/>
    </row>
    <row r="10230" spans="9:10" x14ac:dyDescent="0.25">
      <c r="I10230" s="199"/>
      <c r="J10230" s="199"/>
    </row>
    <row r="10231" spans="9:10" x14ac:dyDescent="0.25">
      <c r="I10231" s="199"/>
      <c r="J10231" s="199"/>
    </row>
    <row r="10232" spans="9:10" x14ac:dyDescent="0.25">
      <c r="I10232" s="199"/>
      <c r="J10232" s="199"/>
    </row>
    <row r="10233" spans="9:10" x14ac:dyDescent="0.25">
      <c r="I10233" s="199"/>
      <c r="J10233" s="199"/>
    </row>
    <row r="10234" spans="9:10" x14ac:dyDescent="0.25">
      <c r="I10234" s="199"/>
      <c r="J10234" s="199"/>
    </row>
    <row r="10235" spans="9:10" x14ac:dyDescent="0.25">
      <c r="I10235" s="199"/>
      <c r="J10235" s="199"/>
    </row>
    <row r="10236" spans="9:10" x14ac:dyDescent="0.25">
      <c r="I10236" s="199"/>
      <c r="J10236" s="199"/>
    </row>
    <row r="10237" spans="9:10" x14ac:dyDescent="0.25">
      <c r="I10237" s="199"/>
      <c r="J10237" s="199"/>
    </row>
    <row r="10238" spans="9:10" x14ac:dyDescent="0.25">
      <c r="I10238" s="199"/>
      <c r="J10238" s="199"/>
    </row>
    <row r="10239" spans="9:10" x14ac:dyDescent="0.25">
      <c r="I10239" s="199"/>
      <c r="J10239" s="199"/>
    </row>
    <row r="10240" spans="9:10" x14ac:dyDescent="0.25">
      <c r="I10240" s="199"/>
      <c r="J10240" s="199"/>
    </row>
    <row r="10241" spans="9:10" x14ac:dyDescent="0.25">
      <c r="I10241" s="199"/>
      <c r="J10241" s="199"/>
    </row>
    <row r="10242" spans="9:10" x14ac:dyDescent="0.25">
      <c r="I10242" s="199"/>
      <c r="J10242" s="199"/>
    </row>
    <row r="10243" spans="9:10" x14ac:dyDescent="0.25">
      <c r="I10243" s="199"/>
      <c r="J10243" s="199"/>
    </row>
    <row r="10244" spans="9:10" x14ac:dyDescent="0.25">
      <c r="I10244" s="199"/>
      <c r="J10244" s="199"/>
    </row>
    <row r="10245" spans="9:10" x14ac:dyDescent="0.25">
      <c r="I10245" s="199"/>
      <c r="J10245" s="199"/>
    </row>
    <row r="10246" spans="9:10" x14ac:dyDescent="0.25">
      <c r="I10246" s="199"/>
      <c r="J10246" s="199"/>
    </row>
    <row r="10247" spans="9:10" x14ac:dyDescent="0.25">
      <c r="I10247" s="199"/>
      <c r="J10247" s="199"/>
    </row>
    <row r="10248" spans="9:10" x14ac:dyDescent="0.25">
      <c r="I10248" s="199"/>
      <c r="J10248" s="199"/>
    </row>
    <row r="10249" spans="9:10" x14ac:dyDescent="0.25">
      <c r="I10249" s="199"/>
      <c r="J10249" s="199"/>
    </row>
    <row r="10250" spans="9:10" x14ac:dyDescent="0.25">
      <c r="I10250" s="199"/>
      <c r="J10250" s="199"/>
    </row>
    <row r="10251" spans="9:10" x14ac:dyDescent="0.25">
      <c r="I10251" s="199"/>
      <c r="J10251" s="199"/>
    </row>
    <row r="10252" spans="9:10" x14ac:dyDescent="0.25">
      <c r="I10252" s="199"/>
      <c r="J10252" s="199"/>
    </row>
    <row r="10253" spans="9:10" x14ac:dyDescent="0.25">
      <c r="I10253" s="199"/>
      <c r="J10253" s="199"/>
    </row>
    <row r="10254" spans="9:10" x14ac:dyDescent="0.25">
      <c r="I10254" s="199"/>
      <c r="J10254" s="199"/>
    </row>
    <row r="10255" spans="9:10" x14ac:dyDescent="0.25">
      <c r="I10255" s="199"/>
      <c r="J10255" s="199"/>
    </row>
    <row r="10256" spans="9:10" x14ac:dyDescent="0.25">
      <c r="I10256" s="199"/>
      <c r="J10256" s="199"/>
    </row>
    <row r="10257" spans="9:10" x14ac:dyDescent="0.25">
      <c r="I10257" s="199"/>
      <c r="J10257" s="199"/>
    </row>
    <row r="10258" spans="9:10" x14ac:dyDescent="0.25">
      <c r="I10258" s="199"/>
      <c r="J10258" s="199"/>
    </row>
    <row r="10259" spans="9:10" x14ac:dyDescent="0.25">
      <c r="I10259" s="199"/>
      <c r="J10259" s="199"/>
    </row>
    <row r="10260" spans="9:10" x14ac:dyDescent="0.25">
      <c r="I10260" s="199"/>
      <c r="J10260" s="199"/>
    </row>
    <row r="10261" spans="9:10" x14ac:dyDescent="0.25">
      <c r="I10261" s="199"/>
      <c r="J10261" s="199"/>
    </row>
    <row r="10262" spans="9:10" x14ac:dyDescent="0.25">
      <c r="I10262" s="199"/>
      <c r="J10262" s="199"/>
    </row>
    <row r="10263" spans="9:10" x14ac:dyDescent="0.25">
      <c r="I10263" s="199"/>
      <c r="J10263" s="199"/>
    </row>
    <row r="10264" spans="9:10" x14ac:dyDescent="0.25">
      <c r="I10264" s="199"/>
      <c r="J10264" s="199"/>
    </row>
    <row r="10265" spans="9:10" x14ac:dyDescent="0.25">
      <c r="I10265" s="199"/>
      <c r="J10265" s="199"/>
    </row>
    <row r="10266" spans="9:10" x14ac:dyDescent="0.25">
      <c r="I10266" s="199"/>
      <c r="J10266" s="199"/>
    </row>
    <row r="10267" spans="9:10" x14ac:dyDescent="0.25">
      <c r="I10267" s="199"/>
      <c r="J10267" s="199"/>
    </row>
    <row r="10268" spans="9:10" x14ac:dyDescent="0.25">
      <c r="I10268" s="199"/>
      <c r="J10268" s="199"/>
    </row>
    <row r="10269" spans="9:10" x14ac:dyDescent="0.25">
      <c r="I10269" s="199"/>
      <c r="J10269" s="199"/>
    </row>
    <row r="10270" spans="9:10" x14ac:dyDescent="0.25">
      <c r="I10270" s="199"/>
      <c r="J10270" s="199"/>
    </row>
    <row r="10271" spans="9:10" x14ac:dyDescent="0.25">
      <c r="I10271" s="199"/>
      <c r="J10271" s="199"/>
    </row>
    <row r="10272" spans="9:10" x14ac:dyDescent="0.25">
      <c r="I10272" s="199"/>
      <c r="J10272" s="199"/>
    </row>
    <row r="10273" spans="9:10" x14ac:dyDescent="0.25">
      <c r="I10273" s="199"/>
      <c r="J10273" s="199"/>
    </row>
    <row r="10274" spans="9:10" x14ac:dyDescent="0.25">
      <c r="I10274" s="199"/>
      <c r="J10274" s="199"/>
    </row>
    <row r="10275" spans="9:10" x14ac:dyDescent="0.25">
      <c r="I10275" s="199"/>
      <c r="J10275" s="199"/>
    </row>
    <row r="10276" spans="9:10" x14ac:dyDescent="0.25">
      <c r="I10276" s="199"/>
      <c r="J10276" s="199"/>
    </row>
    <row r="10277" spans="9:10" x14ac:dyDescent="0.25">
      <c r="I10277" s="199"/>
      <c r="J10277" s="199"/>
    </row>
    <row r="10278" spans="9:10" x14ac:dyDescent="0.25">
      <c r="I10278" s="199"/>
      <c r="J10278" s="199"/>
    </row>
    <row r="10279" spans="9:10" x14ac:dyDescent="0.25">
      <c r="I10279" s="199"/>
      <c r="J10279" s="199"/>
    </row>
    <row r="10280" spans="9:10" x14ac:dyDescent="0.25">
      <c r="I10280" s="199"/>
      <c r="J10280" s="199"/>
    </row>
    <row r="10281" spans="9:10" x14ac:dyDescent="0.25">
      <c r="I10281" s="199"/>
      <c r="J10281" s="199"/>
    </row>
    <row r="10282" spans="9:10" x14ac:dyDescent="0.25">
      <c r="I10282" s="199"/>
      <c r="J10282" s="199"/>
    </row>
    <row r="10283" spans="9:10" x14ac:dyDescent="0.25">
      <c r="I10283" s="199"/>
      <c r="J10283" s="199"/>
    </row>
    <row r="10284" spans="9:10" x14ac:dyDescent="0.25">
      <c r="I10284" s="199"/>
      <c r="J10284" s="199"/>
    </row>
    <row r="10285" spans="9:10" x14ac:dyDescent="0.25">
      <c r="I10285" s="199"/>
      <c r="J10285" s="199"/>
    </row>
    <row r="10286" spans="9:10" x14ac:dyDescent="0.25">
      <c r="I10286" s="199"/>
      <c r="J10286" s="199"/>
    </row>
    <row r="10287" spans="9:10" x14ac:dyDescent="0.25">
      <c r="I10287" s="199"/>
      <c r="J10287" s="199"/>
    </row>
    <row r="10288" spans="9:10" x14ac:dyDescent="0.25">
      <c r="I10288" s="199"/>
      <c r="J10288" s="199"/>
    </row>
    <row r="10289" spans="9:10" x14ac:dyDescent="0.25">
      <c r="I10289" s="199"/>
      <c r="J10289" s="199"/>
    </row>
    <row r="10290" spans="9:10" x14ac:dyDescent="0.25">
      <c r="I10290" s="199"/>
      <c r="J10290" s="199"/>
    </row>
    <row r="10291" spans="9:10" x14ac:dyDescent="0.25">
      <c r="I10291" s="199"/>
      <c r="J10291" s="199"/>
    </row>
    <row r="10292" spans="9:10" x14ac:dyDescent="0.25">
      <c r="I10292" s="199"/>
      <c r="J10292" s="199"/>
    </row>
    <row r="10293" spans="9:10" x14ac:dyDescent="0.25">
      <c r="I10293" s="199"/>
      <c r="J10293" s="199"/>
    </row>
    <row r="10294" spans="9:10" x14ac:dyDescent="0.25">
      <c r="I10294" s="199"/>
      <c r="J10294" s="199"/>
    </row>
    <row r="10295" spans="9:10" x14ac:dyDescent="0.25">
      <c r="I10295" s="199"/>
      <c r="J10295" s="199"/>
    </row>
    <row r="10296" spans="9:10" x14ac:dyDescent="0.25">
      <c r="I10296" s="199"/>
      <c r="J10296" s="199"/>
    </row>
    <row r="10297" spans="9:10" x14ac:dyDescent="0.25">
      <c r="I10297" s="199"/>
      <c r="J10297" s="199"/>
    </row>
    <row r="10298" spans="9:10" x14ac:dyDescent="0.25">
      <c r="I10298" s="199"/>
      <c r="J10298" s="199"/>
    </row>
    <row r="10299" spans="9:10" x14ac:dyDescent="0.25">
      <c r="I10299" s="199"/>
      <c r="J10299" s="199"/>
    </row>
    <row r="10300" spans="9:10" x14ac:dyDescent="0.25">
      <c r="I10300" s="199"/>
      <c r="J10300" s="199"/>
    </row>
    <row r="10301" spans="9:10" x14ac:dyDescent="0.25">
      <c r="I10301" s="199"/>
      <c r="J10301" s="199"/>
    </row>
    <row r="10302" spans="9:10" x14ac:dyDescent="0.25">
      <c r="I10302" s="199"/>
      <c r="J10302" s="199"/>
    </row>
    <row r="10303" spans="9:10" x14ac:dyDescent="0.25">
      <c r="I10303" s="199"/>
      <c r="J10303" s="199"/>
    </row>
    <row r="10304" spans="9:10" x14ac:dyDescent="0.25">
      <c r="I10304" s="199"/>
      <c r="J10304" s="199"/>
    </row>
    <row r="10305" spans="9:10" x14ac:dyDescent="0.25">
      <c r="I10305" s="199"/>
      <c r="J10305" s="199"/>
    </row>
    <row r="10306" spans="9:10" x14ac:dyDescent="0.25">
      <c r="I10306" s="199"/>
      <c r="J10306" s="199"/>
    </row>
    <row r="10307" spans="9:10" x14ac:dyDescent="0.25">
      <c r="I10307" s="199"/>
      <c r="J10307" s="199"/>
    </row>
    <row r="10308" spans="9:10" x14ac:dyDescent="0.25">
      <c r="I10308" s="199"/>
      <c r="J10308" s="199"/>
    </row>
    <row r="10309" spans="9:10" x14ac:dyDescent="0.25">
      <c r="I10309" s="199"/>
      <c r="J10309" s="199"/>
    </row>
    <row r="10310" spans="9:10" x14ac:dyDescent="0.25">
      <c r="I10310" s="199"/>
      <c r="J10310" s="199"/>
    </row>
    <row r="10311" spans="9:10" x14ac:dyDescent="0.25">
      <c r="I10311" s="199"/>
      <c r="J10311" s="199"/>
    </row>
    <row r="10312" spans="9:10" x14ac:dyDescent="0.25">
      <c r="I10312" s="199"/>
      <c r="J10312" s="199"/>
    </row>
    <row r="10313" spans="9:10" x14ac:dyDescent="0.25">
      <c r="I10313" s="199"/>
      <c r="J10313" s="199"/>
    </row>
    <row r="10314" spans="9:10" x14ac:dyDescent="0.25">
      <c r="I10314" s="199"/>
      <c r="J10314" s="199"/>
    </row>
    <row r="10315" spans="9:10" x14ac:dyDescent="0.25">
      <c r="I10315" s="199"/>
      <c r="J10315" s="199"/>
    </row>
    <row r="10316" spans="9:10" x14ac:dyDescent="0.25">
      <c r="I10316" s="199"/>
      <c r="J10316" s="199"/>
    </row>
    <row r="10317" spans="9:10" x14ac:dyDescent="0.25">
      <c r="I10317" s="199"/>
      <c r="J10317" s="199"/>
    </row>
    <row r="10318" spans="9:10" x14ac:dyDescent="0.25">
      <c r="I10318" s="199"/>
      <c r="J10318" s="199"/>
    </row>
    <row r="10319" spans="9:10" x14ac:dyDescent="0.25">
      <c r="I10319" s="199"/>
      <c r="J10319" s="199"/>
    </row>
    <row r="10320" spans="9:10" x14ac:dyDescent="0.25">
      <c r="I10320" s="199"/>
      <c r="J10320" s="199"/>
    </row>
    <row r="10321" spans="9:10" x14ac:dyDescent="0.25">
      <c r="I10321" s="199"/>
      <c r="J10321" s="199"/>
    </row>
    <row r="10322" spans="9:10" x14ac:dyDescent="0.25">
      <c r="I10322" s="199"/>
      <c r="J10322" s="199"/>
    </row>
    <row r="10323" spans="9:10" x14ac:dyDescent="0.25">
      <c r="I10323" s="199"/>
      <c r="J10323" s="199"/>
    </row>
    <row r="10324" spans="9:10" x14ac:dyDescent="0.25">
      <c r="I10324" s="199"/>
      <c r="J10324" s="199"/>
    </row>
    <row r="10325" spans="9:10" x14ac:dyDescent="0.25">
      <c r="I10325" s="199"/>
      <c r="J10325" s="199"/>
    </row>
    <row r="10326" spans="9:10" x14ac:dyDescent="0.25">
      <c r="I10326" s="199"/>
      <c r="J10326" s="199"/>
    </row>
    <row r="10327" spans="9:10" x14ac:dyDescent="0.25">
      <c r="I10327" s="199"/>
      <c r="J10327" s="199"/>
    </row>
    <row r="10328" spans="9:10" x14ac:dyDescent="0.25">
      <c r="I10328" s="199"/>
      <c r="J10328" s="199"/>
    </row>
    <row r="10329" spans="9:10" x14ac:dyDescent="0.25">
      <c r="I10329" s="199"/>
      <c r="J10329" s="199"/>
    </row>
    <row r="10330" spans="9:10" x14ac:dyDescent="0.25">
      <c r="I10330" s="199"/>
      <c r="J10330" s="199"/>
    </row>
    <row r="10331" spans="9:10" x14ac:dyDescent="0.25">
      <c r="I10331" s="199"/>
      <c r="J10331" s="199"/>
    </row>
    <row r="10332" spans="9:10" x14ac:dyDescent="0.25">
      <c r="I10332" s="199"/>
      <c r="J10332" s="199"/>
    </row>
    <row r="10333" spans="9:10" x14ac:dyDescent="0.25">
      <c r="I10333" s="199"/>
      <c r="J10333" s="199"/>
    </row>
    <row r="10334" spans="9:10" x14ac:dyDescent="0.25">
      <c r="I10334" s="199"/>
      <c r="J10334" s="199"/>
    </row>
    <row r="10335" spans="9:10" x14ac:dyDescent="0.25">
      <c r="I10335" s="199"/>
      <c r="J10335" s="199"/>
    </row>
    <row r="10336" spans="9:10" x14ac:dyDescent="0.25">
      <c r="I10336" s="199"/>
      <c r="J10336" s="199"/>
    </row>
    <row r="10337" spans="9:10" x14ac:dyDescent="0.25">
      <c r="I10337" s="199"/>
      <c r="J10337" s="199"/>
    </row>
    <row r="10338" spans="9:10" x14ac:dyDescent="0.25">
      <c r="I10338" s="199"/>
      <c r="J10338" s="199"/>
    </row>
    <row r="10339" spans="9:10" x14ac:dyDescent="0.25">
      <c r="I10339" s="199"/>
      <c r="J10339" s="199"/>
    </row>
    <row r="10340" spans="9:10" x14ac:dyDescent="0.25">
      <c r="I10340" s="199"/>
      <c r="J10340" s="199"/>
    </row>
    <row r="10341" spans="9:10" x14ac:dyDescent="0.25">
      <c r="I10341" s="199"/>
      <c r="J10341" s="199"/>
    </row>
    <row r="10342" spans="9:10" x14ac:dyDescent="0.25">
      <c r="I10342" s="199"/>
      <c r="J10342" s="199"/>
    </row>
    <row r="10343" spans="9:10" x14ac:dyDescent="0.25">
      <c r="I10343" s="199"/>
      <c r="J10343" s="199"/>
    </row>
    <row r="10344" spans="9:10" x14ac:dyDescent="0.25">
      <c r="I10344" s="199"/>
      <c r="J10344" s="199"/>
    </row>
    <row r="10345" spans="9:10" x14ac:dyDescent="0.25">
      <c r="I10345" s="199"/>
      <c r="J10345" s="199"/>
    </row>
    <row r="10346" spans="9:10" x14ac:dyDescent="0.25">
      <c r="I10346" s="199"/>
      <c r="J10346" s="199"/>
    </row>
    <row r="10347" spans="9:10" x14ac:dyDescent="0.25">
      <c r="I10347" s="199"/>
      <c r="J10347" s="199"/>
    </row>
    <row r="10348" spans="9:10" x14ac:dyDescent="0.25">
      <c r="I10348" s="199"/>
      <c r="J10348" s="199"/>
    </row>
    <row r="10349" spans="9:10" x14ac:dyDescent="0.25">
      <c r="I10349" s="199"/>
      <c r="J10349" s="199"/>
    </row>
    <row r="10350" spans="9:10" x14ac:dyDescent="0.25">
      <c r="I10350" s="199"/>
      <c r="J10350" s="199"/>
    </row>
    <row r="10351" spans="9:10" x14ac:dyDescent="0.25">
      <c r="I10351" s="199"/>
      <c r="J10351" s="199"/>
    </row>
    <row r="10352" spans="9:10" x14ac:dyDescent="0.25">
      <c r="I10352" s="199"/>
      <c r="J10352" s="199"/>
    </row>
    <row r="10353" spans="9:10" x14ac:dyDescent="0.25">
      <c r="I10353" s="199"/>
      <c r="J10353" s="199"/>
    </row>
    <row r="10354" spans="9:10" x14ac:dyDescent="0.25">
      <c r="I10354" s="199"/>
      <c r="J10354" s="199"/>
    </row>
    <row r="10355" spans="9:10" x14ac:dyDescent="0.25">
      <c r="I10355" s="199"/>
      <c r="J10355" s="199"/>
    </row>
    <row r="10356" spans="9:10" x14ac:dyDescent="0.25">
      <c r="I10356" s="199"/>
      <c r="J10356" s="199"/>
    </row>
    <row r="10357" spans="9:10" x14ac:dyDescent="0.25">
      <c r="I10357" s="199"/>
      <c r="J10357" s="199"/>
    </row>
    <row r="10358" spans="9:10" x14ac:dyDescent="0.25">
      <c r="I10358" s="199"/>
      <c r="J10358" s="199"/>
    </row>
    <row r="10359" spans="9:10" x14ac:dyDescent="0.25">
      <c r="I10359" s="199"/>
      <c r="J10359" s="199"/>
    </row>
    <row r="10360" spans="9:10" x14ac:dyDescent="0.25">
      <c r="I10360" s="199"/>
      <c r="J10360" s="199"/>
    </row>
    <row r="10361" spans="9:10" x14ac:dyDescent="0.25">
      <c r="I10361" s="199"/>
      <c r="J10361" s="199"/>
    </row>
    <row r="10362" spans="9:10" x14ac:dyDescent="0.25">
      <c r="I10362" s="199"/>
      <c r="J10362" s="199"/>
    </row>
    <row r="10363" spans="9:10" x14ac:dyDescent="0.25">
      <c r="I10363" s="199"/>
      <c r="J10363" s="199"/>
    </row>
    <row r="10364" spans="9:10" x14ac:dyDescent="0.25">
      <c r="I10364" s="199"/>
      <c r="J10364" s="199"/>
    </row>
    <row r="10365" spans="9:10" x14ac:dyDescent="0.25">
      <c r="I10365" s="199"/>
      <c r="J10365" s="199"/>
    </row>
    <row r="10366" spans="9:10" x14ac:dyDescent="0.25">
      <c r="I10366" s="199"/>
      <c r="J10366" s="199"/>
    </row>
    <row r="10367" spans="9:10" x14ac:dyDescent="0.25">
      <c r="I10367" s="199"/>
      <c r="J10367" s="199"/>
    </row>
    <row r="10368" spans="9:10" x14ac:dyDescent="0.25">
      <c r="I10368" s="199"/>
      <c r="J10368" s="199"/>
    </row>
    <row r="10369" spans="9:10" x14ac:dyDescent="0.25">
      <c r="I10369" s="199"/>
      <c r="J10369" s="199"/>
    </row>
    <row r="10370" spans="9:10" x14ac:dyDescent="0.25">
      <c r="I10370" s="199"/>
      <c r="J10370" s="199"/>
    </row>
    <row r="10371" spans="9:10" x14ac:dyDescent="0.25">
      <c r="I10371" s="199"/>
      <c r="J10371" s="199"/>
    </row>
    <row r="10372" spans="9:10" x14ac:dyDescent="0.25">
      <c r="I10372" s="199"/>
      <c r="J10372" s="199"/>
    </row>
    <row r="10373" spans="9:10" x14ac:dyDescent="0.25">
      <c r="I10373" s="199"/>
      <c r="J10373" s="199"/>
    </row>
    <row r="10374" spans="9:10" x14ac:dyDescent="0.25">
      <c r="I10374" s="199"/>
      <c r="J10374" s="199"/>
    </row>
    <row r="10375" spans="9:10" x14ac:dyDescent="0.25">
      <c r="I10375" s="199"/>
      <c r="J10375" s="199"/>
    </row>
    <row r="10376" spans="9:10" x14ac:dyDescent="0.25">
      <c r="I10376" s="199"/>
      <c r="J10376" s="199"/>
    </row>
    <row r="10377" spans="9:10" x14ac:dyDescent="0.25">
      <c r="I10377" s="199"/>
      <c r="J10377" s="199"/>
    </row>
    <row r="10378" spans="9:10" x14ac:dyDescent="0.25">
      <c r="I10378" s="199"/>
      <c r="J10378" s="199"/>
    </row>
    <row r="10379" spans="9:10" x14ac:dyDescent="0.25">
      <c r="I10379" s="199"/>
      <c r="J10379" s="199"/>
    </row>
    <row r="10380" spans="9:10" x14ac:dyDescent="0.25">
      <c r="I10380" s="199"/>
      <c r="J10380" s="199"/>
    </row>
    <row r="10381" spans="9:10" x14ac:dyDescent="0.25">
      <c r="I10381" s="199"/>
      <c r="J10381" s="199"/>
    </row>
    <row r="10382" spans="9:10" x14ac:dyDescent="0.25">
      <c r="I10382" s="199"/>
      <c r="J10382" s="199"/>
    </row>
    <row r="10383" spans="9:10" x14ac:dyDescent="0.25">
      <c r="I10383" s="199"/>
      <c r="J10383" s="199"/>
    </row>
    <row r="10384" spans="9:10" x14ac:dyDescent="0.25">
      <c r="I10384" s="199"/>
      <c r="J10384" s="199"/>
    </row>
    <row r="10385" spans="9:10" x14ac:dyDescent="0.25">
      <c r="I10385" s="199"/>
      <c r="J10385" s="199"/>
    </row>
    <row r="10386" spans="9:10" x14ac:dyDescent="0.25">
      <c r="I10386" s="199"/>
      <c r="J10386" s="199"/>
    </row>
    <row r="10387" spans="9:10" x14ac:dyDescent="0.25">
      <c r="I10387" s="199"/>
      <c r="J10387" s="199"/>
    </row>
    <row r="10388" spans="9:10" x14ac:dyDescent="0.25">
      <c r="I10388" s="199"/>
      <c r="J10388" s="199"/>
    </row>
    <row r="10389" spans="9:10" x14ac:dyDescent="0.25">
      <c r="I10389" s="199"/>
      <c r="J10389" s="199"/>
    </row>
    <row r="10390" spans="9:10" x14ac:dyDescent="0.25">
      <c r="I10390" s="199"/>
      <c r="J10390" s="199"/>
    </row>
    <row r="10391" spans="9:10" x14ac:dyDescent="0.25">
      <c r="I10391" s="199"/>
      <c r="J10391" s="199"/>
    </row>
    <row r="10392" spans="9:10" x14ac:dyDescent="0.25">
      <c r="I10392" s="199"/>
      <c r="J10392" s="199"/>
    </row>
    <row r="10393" spans="9:10" x14ac:dyDescent="0.25">
      <c r="I10393" s="199"/>
      <c r="J10393" s="199"/>
    </row>
    <row r="10394" spans="9:10" x14ac:dyDescent="0.25">
      <c r="I10394" s="199"/>
      <c r="J10394" s="199"/>
    </row>
    <row r="10395" spans="9:10" x14ac:dyDescent="0.25">
      <c r="I10395" s="199"/>
      <c r="J10395" s="199"/>
    </row>
    <row r="10396" spans="9:10" x14ac:dyDescent="0.25">
      <c r="I10396" s="199"/>
      <c r="J10396" s="199"/>
    </row>
    <row r="10397" spans="9:10" x14ac:dyDescent="0.25">
      <c r="I10397" s="199"/>
      <c r="J10397" s="199"/>
    </row>
    <row r="10398" spans="9:10" x14ac:dyDescent="0.25">
      <c r="I10398" s="199"/>
      <c r="J10398" s="199"/>
    </row>
    <row r="10399" spans="9:10" x14ac:dyDescent="0.25">
      <c r="I10399" s="199"/>
      <c r="J10399" s="199"/>
    </row>
    <row r="10400" spans="9:10" x14ac:dyDescent="0.25">
      <c r="I10400" s="199"/>
      <c r="J10400" s="199"/>
    </row>
    <row r="10401" spans="9:10" x14ac:dyDescent="0.25">
      <c r="I10401" s="199"/>
      <c r="J10401" s="199"/>
    </row>
    <row r="10402" spans="9:10" x14ac:dyDescent="0.25">
      <c r="I10402" s="199"/>
      <c r="J10402" s="199"/>
    </row>
    <row r="10403" spans="9:10" x14ac:dyDescent="0.25">
      <c r="I10403" s="199"/>
      <c r="J10403" s="199"/>
    </row>
    <row r="10404" spans="9:10" x14ac:dyDescent="0.25">
      <c r="I10404" s="199"/>
      <c r="J10404" s="199"/>
    </row>
    <row r="10405" spans="9:10" x14ac:dyDescent="0.25">
      <c r="I10405" s="199"/>
      <c r="J10405" s="199"/>
    </row>
    <row r="10406" spans="9:10" x14ac:dyDescent="0.25">
      <c r="I10406" s="199"/>
      <c r="J10406" s="199"/>
    </row>
    <row r="10407" spans="9:10" x14ac:dyDescent="0.25">
      <c r="I10407" s="199"/>
      <c r="J10407" s="199"/>
    </row>
    <row r="10408" spans="9:10" x14ac:dyDescent="0.25">
      <c r="I10408" s="199"/>
      <c r="J10408" s="199"/>
    </row>
    <row r="10409" spans="9:10" x14ac:dyDescent="0.25">
      <c r="I10409" s="199"/>
      <c r="J10409" s="199"/>
    </row>
    <row r="10410" spans="9:10" x14ac:dyDescent="0.25">
      <c r="I10410" s="199"/>
      <c r="J10410" s="199"/>
    </row>
    <row r="10411" spans="9:10" x14ac:dyDescent="0.25">
      <c r="I10411" s="199"/>
      <c r="J10411" s="199"/>
    </row>
    <row r="10412" spans="9:10" x14ac:dyDescent="0.25">
      <c r="I10412" s="199"/>
      <c r="J10412" s="199"/>
    </row>
    <row r="10413" spans="9:10" x14ac:dyDescent="0.25">
      <c r="I10413" s="199"/>
      <c r="J10413" s="199"/>
    </row>
    <row r="10414" spans="9:10" x14ac:dyDescent="0.25">
      <c r="I10414" s="199"/>
      <c r="J10414" s="199"/>
    </row>
    <row r="10415" spans="9:10" x14ac:dyDescent="0.25">
      <c r="I10415" s="199"/>
      <c r="J10415" s="199"/>
    </row>
    <row r="10416" spans="9:10" x14ac:dyDescent="0.25">
      <c r="I10416" s="199"/>
      <c r="J10416" s="199"/>
    </row>
    <row r="10417" spans="9:10" x14ac:dyDescent="0.25">
      <c r="I10417" s="199"/>
      <c r="J10417" s="199"/>
    </row>
    <row r="10418" spans="9:10" x14ac:dyDescent="0.25">
      <c r="I10418" s="199"/>
      <c r="J10418" s="199"/>
    </row>
    <row r="10419" spans="9:10" x14ac:dyDescent="0.25">
      <c r="I10419" s="199"/>
      <c r="J10419" s="199"/>
    </row>
    <row r="10420" spans="9:10" x14ac:dyDescent="0.25">
      <c r="I10420" s="199"/>
      <c r="J10420" s="199"/>
    </row>
    <row r="10421" spans="9:10" x14ac:dyDescent="0.25">
      <c r="I10421" s="199"/>
      <c r="J10421" s="199"/>
    </row>
    <row r="10422" spans="9:10" x14ac:dyDescent="0.25">
      <c r="I10422" s="199"/>
      <c r="J10422" s="199"/>
    </row>
    <row r="10423" spans="9:10" x14ac:dyDescent="0.25">
      <c r="I10423" s="199"/>
      <c r="J10423" s="199"/>
    </row>
    <row r="10424" spans="9:10" x14ac:dyDescent="0.25">
      <c r="I10424" s="199"/>
      <c r="J10424" s="199"/>
    </row>
    <row r="10425" spans="9:10" x14ac:dyDescent="0.25">
      <c r="I10425" s="199"/>
      <c r="J10425" s="199"/>
    </row>
    <row r="10426" spans="9:10" x14ac:dyDescent="0.25">
      <c r="I10426" s="199"/>
      <c r="J10426" s="199"/>
    </row>
    <row r="10427" spans="9:10" x14ac:dyDescent="0.25">
      <c r="I10427" s="199"/>
      <c r="J10427" s="199"/>
    </row>
    <row r="10428" spans="9:10" x14ac:dyDescent="0.25">
      <c r="I10428" s="199"/>
      <c r="J10428" s="199"/>
    </row>
    <row r="10429" spans="9:10" x14ac:dyDescent="0.25">
      <c r="I10429" s="199"/>
      <c r="J10429" s="199"/>
    </row>
    <row r="10430" spans="9:10" x14ac:dyDescent="0.25">
      <c r="I10430" s="199"/>
      <c r="J10430" s="199"/>
    </row>
    <row r="10431" spans="9:10" x14ac:dyDescent="0.25">
      <c r="I10431" s="199"/>
      <c r="J10431" s="199"/>
    </row>
    <row r="10432" spans="9:10" x14ac:dyDescent="0.25">
      <c r="I10432" s="199"/>
      <c r="J10432" s="199"/>
    </row>
    <row r="10433" spans="9:10" x14ac:dyDescent="0.25">
      <c r="I10433" s="199"/>
      <c r="J10433" s="199"/>
    </row>
    <row r="10434" spans="9:10" x14ac:dyDescent="0.25">
      <c r="I10434" s="199"/>
      <c r="J10434" s="199"/>
    </row>
    <row r="10435" spans="9:10" x14ac:dyDescent="0.25">
      <c r="I10435" s="199"/>
      <c r="J10435" s="199"/>
    </row>
    <row r="10436" spans="9:10" x14ac:dyDescent="0.25">
      <c r="I10436" s="199"/>
      <c r="J10436" s="199"/>
    </row>
    <row r="10437" spans="9:10" x14ac:dyDescent="0.25">
      <c r="I10437" s="199"/>
      <c r="J10437" s="199"/>
    </row>
    <row r="10438" spans="9:10" x14ac:dyDescent="0.25">
      <c r="I10438" s="199"/>
      <c r="J10438" s="199"/>
    </row>
    <row r="10439" spans="9:10" x14ac:dyDescent="0.25">
      <c r="I10439" s="199"/>
      <c r="J10439" s="199"/>
    </row>
    <row r="10440" spans="9:10" x14ac:dyDescent="0.25">
      <c r="I10440" s="199"/>
      <c r="J10440" s="199"/>
    </row>
    <row r="10441" spans="9:10" x14ac:dyDescent="0.25">
      <c r="I10441" s="199"/>
      <c r="J10441" s="199"/>
    </row>
    <row r="10442" spans="9:10" x14ac:dyDescent="0.25">
      <c r="I10442" s="199"/>
      <c r="J10442" s="199"/>
    </row>
    <row r="10443" spans="9:10" x14ac:dyDescent="0.25">
      <c r="I10443" s="199"/>
      <c r="J10443" s="199"/>
    </row>
    <row r="10444" spans="9:10" x14ac:dyDescent="0.25">
      <c r="I10444" s="199"/>
      <c r="J10444" s="199"/>
    </row>
    <row r="10445" spans="9:10" x14ac:dyDescent="0.25">
      <c r="I10445" s="199"/>
      <c r="J10445" s="199"/>
    </row>
    <row r="10446" spans="9:10" x14ac:dyDescent="0.25">
      <c r="I10446" s="199"/>
      <c r="J10446" s="199"/>
    </row>
    <row r="10447" spans="9:10" x14ac:dyDescent="0.25">
      <c r="I10447" s="199"/>
      <c r="J10447" s="199"/>
    </row>
    <row r="10448" spans="9:10" x14ac:dyDescent="0.25">
      <c r="I10448" s="199"/>
      <c r="J10448" s="199"/>
    </row>
    <row r="10449" spans="9:10" x14ac:dyDescent="0.25">
      <c r="I10449" s="199"/>
      <c r="J10449" s="199"/>
    </row>
    <row r="10450" spans="9:10" x14ac:dyDescent="0.25">
      <c r="I10450" s="199"/>
      <c r="J10450" s="199"/>
    </row>
    <row r="10451" spans="9:10" x14ac:dyDescent="0.25">
      <c r="I10451" s="199"/>
      <c r="J10451" s="199"/>
    </row>
    <row r="10452" spans="9:10" x14ac:dyDescent="0.25">
      <c r="I10452" s="199"/>
      <c r="J10452" s="199"/>
    </row>
    <row r="10453" spans="9:10" x14ac:dyDescent="0.25">
      <c r="I10453" s="199"/>
      <c r="J10453" s="199"/>
    </row>
    <row r="10454" spans="9:10" x14ac:dyDescent="0.25">
      <c r="I10454" s="199"/>
      <c r="J10454" s="199"/>
    </row>
    <row r="10455" spans="9:10" x14ac:dyDescent="0.25">
      <c r="I10455" s="199"/>
      <c r="J10455" s="199"/>
    </row>
    <row r="10456" spans="9:10" x14ac:dyDescent="0.25">
      <c r="I10456" s="199"/>
      <c r="J10456" s="199"/>
    </row>
    <row r="10457" spans="9:10" x14ac:dyDescent="0.25">
      <c r="I10457" s="199"/>
      <c r="J10457" s="199"/>
    </row>
    <row r="10458" spans="9:10" x14ac:dyDescent="0.25">
      <c r="I10458" s="199"/>
      <c r="J10458" s="199"/>
    </row>
    <row r="10459" spans="9:10" x14ac:dyDescent="0.25">
      <c r="I10459" s="199"/>
      <c r="J10459" s="199"/>
    </row>
    <row r="10460" spans="9:10" x14ac:dyDescent="0.25">
      <c r="I10460" s="199"/>
      <c r="J10460" s="199"/>
    </row>
    <row r="10461" spans="9:10" x14ac:dyDescent="0.25">
      <c r="I10461" s="199"/>
      <c r="J10461" s="199"/>
    </row>
    <row r="10462" spans="9:10" x14ac:dyDescent="0.25">
      <c r="I10462" s="199"/>
      <c r="J10462" s="199"/>
    </row>
    <row r="10463" spans="9:10" x14ac:dyDescent="0.25">
      <c r="I10463" s="199"/>
      <c r="J10463" s="199"/>
    </row>
    <row r="10464" spans="9:10" x14ac:dyDescent="0.25">
      <c r="I10464" s="199"/>
      <c r="J10464" s="199"/>
    </row>
    <row r="10465" spans="9:10" x14ac:dyDescent="0.25">
      <c r="I10465" s="199"/>
      <c r="J10465" s="199"/>
    </row>
    <row r="10466" spans="9:10" x14ac:dyDescent="0.25">
      <c r="I10466" s="199"/>
      <c r="J10466" s="199"/>
    </row>
    <row r="10467" spans="9:10" x14ac:dyDescent="0.25">
      <c r="I10467" s="199"/>
      <c r="J10467" s="199"/>
    </row>
    <row r="10468" spans="9:10" x14ac:dyDescent="0.25">
      <c r="I10468" s="199"/>
      <c r="J10468" s="199"/>
    </row>
    <row r="10469" spans="9:10" x14ac:dyDescent="0.25">
      <c r="I10469" s="199"/>
      <c r="J10469" s="199"/>
    </row>
    <row r="10470" spans="9:10" x14ac:dyDescent="0.25">
      <c r="I10470" s="199"/>
      <c r="J10470" s="199"/>
    </row>
    <row r="10471" spans="9:10" x14ac:dyDescent="0.25">
      <c r="I10471" s="199"/>
      <c r="J10471" s="199"/>
    </row>
    <row r="10472" spans="9:10" x14ac:dyDescent="0.25">
      <c r="I10472" s="199"/>
      <c r="J10472" s="199"/>
    </row>
    <row r="10473" spans="9:10" x14ac:dyDescent="0.25">
      <c r="I10473" s="199"/>
      <c r="J10473" s="199"/>
    </row>
    <row r="10474" spans="9:10" x14ac:dyDescent="0.25">
      <c r="I10474" s="199"/>
      <c r="J10474" s="199"/>
    </row>
    <row r="10475" spans="9:10" x14ac:dyDescent="0.25">
      <c r="I10475" s="199"/>
      <c r="J10475" s="199"/>
    </row>
    <row r="10476" spans="9:10" x14ac:dyDescent="0.25">
      <c r="I10476" s="199"/>
      <c r="J10476" s="199"/>
    </row>
    <row r="10477" spans="9:10" x14ac:dyDescent="0.25">
      <c r="I10477" s="199"/>
      <c r="J10477" s="199"/>
    </row>
    <row r="10478" spans="9:10" x14ac:dyDescent="0.25">
      <c r="I10478" s="199"/>
      <c r="J10478" s="199"/>
    </row>
    <row r="10479" spans="9:10" x14ac:dyDescent="0.25">
      <c r="I10479" s="199"/>
      <c r="J10479" s="199"/>
    </row>
    <row r="10480" spans="9:10" x14ac:dyDescent="0.25">
      <c r="I10480" s="199"/>
      <c r="J10480" s="199"/>
    </row>
    <row r="10481" spans="9:10" x14ac:dyDescent="0.25">
      <c r="I10481" s="199"/>
      <c r="J10481" s="199"/>
    </row>
    <row r="10482" spans="9:10" x14ac:dyDescent="0.25">
      <c r="I10482" s="199"/>
      <c r="J10482" s="199"/>
    </row>
    <row r="10483" spans="9:10" x14ac:dyDescent="0.25">
      <c r="I10483" s="199"/>
      <c r="J10483" s="199"/>
    </row>
    <row r="10484" spans="9:10" x14ac:dyDescent="0.25">
      <c r="I10484" s="199"/>
      <c r="J10484" s="199"/>
    </row>
    <row r="10485" spans="9:10" x14ac:dyDescent="0.25">
      <c r="I10485" s="199"/>
      <c r="J10485" s="199"/>
    </row>
    <row r="10486" spans="9:10" x14ac:dyDescent="0.25">
      <c r="I10486" s="199"/>
      <c r="J10486" s="199"/>
    </row>
    <row r="10487" spans="9:10" x14ac:dyDescent="0.25">
      <c r="I10487" s="199"/>
      <c r="J10487" s="199"/>
    </row>
    <row r="10488" spans="9:10" x14ac:dyDescent="0.25">
      <c r="I10488" s="199"/>
      <c r="J10488" s="199"/>
    </row>
    <row r="10489" spans="9:10" x14ac:dyDescent="0.25">
      <c r="I10489" s="199"/>
      <c r="J10489" s="199"/>
    </row>
    <row r="10490" spans="9:10" x14ac:dyDescent="0.25">
      <c r="I10490" s="199"/>
      <c r="J10490" s="199"/>
    </row>
    <row r="10491" spans="9:10" x14ac:dyDescent="0.25">
      <c r="I10491" s="199"/>
      <c r="J10491" s="199"/>
    </row>
    <row r="10492" spans="9:10" x14ac:dyDescent="0.25">
      <c r="I10492" s="199"/>
      <c r="J10492" s="199"/>
    </row>
    <row r="10493" spans="9:10" x14ac:dyDescent="0.25">
      <c r="I10493" s="199"/>
      <c r="J10493" s="199"/>
    </row>
    <row r="10494" spans="9:10" x14ac:dyDescent="0.25">
      <c r="I10494" s="199"/>
      <c r="J10494" s="199"/>
    </row>
    <row r="10495" spans="9:10" x14ac:dyDescent="0.25">
      <c r="I10495" s="199"/>
      <c r="J10495" s="199"/>
    </row>
    <row r="10496" spans="9:10" x14ac:dyDescent="0.25">
      <c r="I10496" s="199"/>
      <c r="J10496" s="199"/>
    </row>
    <row r="10497" spans="9:10" x14ac:dyDescent="0.25">
      <c r="I10497" s="199"/>
      <c r="J10497" s="199"/>
    </row>
    <row r="10498" spans="9:10" x14ac:dyDescent="0.25">
      <c r="I10498" s="199"/>
      <c r="J10498" s="199"/>
    </row>
    <row r="10499" spans="9:10" x14ac:dyDescent="0.25">
      <c r="I10499" s="199"/>
      <c r="J10499" s="199"/>
    </row>
    <row r="10500" spans="9:10" x14ac:dyDescent="0.25">
      <c r="I10500" s="199"/>
      <c r="J10500" s="199"/>
    </row>
    <row r="10501" spans="9:10" x14ac:dyDescent="0.25">
      <c r="I10501" s="199"/>
      <c r="J10501" s="199"/>
    </row>
    <row r="10502" spans="9:10" x14ac:dyDescent="0.25">
      <c r="I10502" s="199"/>
      <c r="J10502" s="199"/>
    </row>
    <row r="10503" spans="9:10" x14ac:dyDescent="0.25">
      <c r="I10503" s="199"/>
      <c r="J10503" s="199"/>
    </row>
    <row r="10504" spans="9:10" x14ac:dyDescent="0.25">
      <c r="I10504" s="199"/>
      <c r="J10504" s="199"/>
    </row>
    <row r="10505" spans="9:10" x14ac:dyDescent="0.25">
      <c r="I10505" s="199"/>
      <c r="J10505" s="199"/>
    </row>
    <row r="10506" spans="9:10" x14ac:dyDescent="0.25">
      <c r="I10506" s="199"/>
      <c r="J10506" s="199"/>
    </row>
    <row r="10507" spans="9:10" x14ac:dyDescent="0.25">
      <c r="I10507" s="199"/>
      <c r="J10507" s="199"/>
    </row>
    <row r="10508" spans="9:10" x14ac:dyDescent="0.25">
      <c r="I10508" s="199"/>
      <c r="J10508" s="199"/>
    </row>
    <row r="10509" spans="9:10" x14ac:dyDescent="0.25">
      <c r="I10509" s="199"/>
      <c r="J10509" s="199"/>
    </row>
    <row r="10510" spans="9:10" x14ac:dyDescent="0.25">
      <c r="I10510" s="199"/>
      <c r="J10510" s="199"/>
    </row>
    <row r="10511" spans="9:10" x14ac:dyDescent="0.25">
      <c r="I10511" s="199"/>
      <c r="J10511" s="199"/>
    </row>
    <row r="10512" spans="9:10" x14ac:dyDescent="0.25">
      <c r="I10512" s="199"/>
      <c r="J10512" s="199"/>
    </row>
    <row r="10513" spans="9:10" x14ac:dyDescent="0.25">
      <c r="I10513" s="199"/>
      <c r="J10513" s="199"/>
    </row>
    <row r="10514" spans="9:10" x14ac:dyDescent="0.25">
      <c r="I10514" s="199"/>
      <c r="J10514" s="199"/>
    </row>
    <row r="10515" spans="9:10" x14ac:dyDescent="0.25">
      <c r="I10515" s="199"/>
      <c r="J10515" s="199"/>
    </row>
    <row r="10516" spans="9:10" x14ac:dyDescent="0.25">
      <c r="I10516" s="199"/>
      <c r="J10516" s="199"/>
    </row>
    <row r="10517" spans="9:10" x14ac:dyDescent="0.25">
      <c r="I10517" s="199"/>
      <c r="J10517" s="199"/>
    </row>
    <row r="10518" spans="9:10" x14ac:dyDescent="0.25">
      <c r="I10518" s="199"/>
      <c r="J10518" s="199"/>
    </row>
    <row r="10519" spans="9:10" x14ac:dyDescent="0.25">
      <c r="I10519" s="199"/>
      <c r="J10519" s="199"/>
    </row>
    <row r="10520" spans="9:10" x14ac:dyDescent="0.25">
      <c r="I10520" s="199"/>
      <c r="J10520" s="199"/>
    </row>
    <row r="10521" spans="9:10" x14ac:dyDescent="0.25">
      <c r="I10521" s="199"/>
      <c r="J10521" s="199"/>
    </row>
    <row r="10522" spans="9:10" x14ac:dyDescent="0.25">
      <c r="I10522" s="199"/>
      <c r="J10522" s="199"/>
    </row>
    <row r="10523" spans="9:10" x14ac:dyDescent="0.25">
      <c r="I10523" s="199"/>
      <c r="J10523" s="199"/>
    </row>
    <row r="10524" spans="9:10" x14ac:dyDescent="0.25">
      <c r="I10524" s="199"/>
      <c r="J10524" s="199"/>
    </row>
    <row r="10525" spans="9:10" x14ac:dyDescent="0.25">
      <c r="I10525" s="199"/>
      <c r="J10525" s="199"/>
    </row>
    <row r="10526" spans="9:10" x14ac:dyDescent="0.25">
      <c r="I10526" s="199"/>
      <c r="J10526" s="199"/>
    </row>
    <row r="10527" spans="9:10" x14ac:dyDescent="0.25">
      <c r="I10527" s="199"/>
      <c r="J10527" s="199"/>
    </row>
    <row r="10528" spans="9:10" x14ac:dyDescent="0.25">
      <c r="I10528" s="199"/>
      <c r="J10528" s="199"/>
    </row>
    <row r="10529" spans="9:10" x14ac:dyDescent="0.25">
      <c r="I10529" s="199"/>
      <c r="J10529" s="199"/>
    </row>
    <row r="10530" spans="9:10" x14ac:dyDescent="0.25">
      <c r="I10530" s="199"/>
      <c r="J10530" s="199"/>
    </row>
    <row r="10531" spans="9:10" x14ac:dyDescent="0.25">
      <c r="I10531" s="199"/>
      <c r="J10531" s="199"/>
    </row>
    <row r="10532" spans="9:10" x14ac:dyDescent="0.25">
      <c r="I10532" s="199"/>
      <c r="J10532" s="199"/>
    </row>
    <row r="10533" spans="9:10" x14ac:dyDescent="0.25">
      <c r="I10533" s="199"/>
      <c r="J10533" s="199"/>
    </row>
    <row r="10534" spans="9:10" x14ac:dyDescent="0.25">
      <c r="I10534" s="199"/>
      <c r="J10534" s="199"/>
    </row>
    <row r="10535" spans="9:10" x14ac:dyDescent="0.25">
      <c r="I10535" s="199"/>
      <c r="J10535" s="199"/>
    </row>
    <row r="10536" spans="9:10" x14ac:dyDescent="0.25">
      <c r="I10536" s="199"/>
      <c r="J10536" s="199"/>
    </row>
    <row r="10537" spans="9:10" x14ac:dyDescent="0.25">
      <c r="I10537" s="199"/>
      <c r="J10537" s="199"/>
    </row>
    <row r="10538" spans="9:10" x14ac:dyDescent="0.25">
      <c r="I10538" s="199"/>
      <c r="J10538" s="199"/>
    </row>
    <row r="10539" spans="9:10" x14ac:dyDescent="0.25">
      <c r="I10539" s="199"/>
      <c r="J10539" s="199"/>
    </row>
    <row r="10540" spans="9:10" x14ac:dyDescent="0.25">
      <c r="I10540" s="199"/>
      <c r="J10540" s="199"/>
    </row>
    <row r="10541" spans="9:10" x14ac:dyDescent="0.25">
      <c r="I10541" s="199"/>
      <c r="J10541" s="199"/>
    </row>
    <row r="10542" spans="9:10" x14ac:dyDescent="0.25">
      <c r="I10542" s="199"/>
      <c r="J10542" s="199"/>
    </row>
    <row r="10543" spans="9:10" x14ac:dyDescent="0.25">
      <c r="I10543" s="199"/>
      <c r="J10543" s="199"/>
    </row>
    <row r="10544" spans="9:10" x14ac:dyDescent="0.25">
      <c r="I10544" s="199"/>
      <c r="J10544" s="199"/>
    </row>
    <row r="10545" spans="9:10" x14ac:dyDescent="0.25">
      <c r="I10545" s="199"/>
      <c r="J10545" s="199"/>
    </row>
    <row r="10546" spans="9:10" x14ac:dyDescent="0.25">
      <c r="I10546" s="199"/>
      <c r="J10546" s="199"/>
    </row>
    <row r="10547" spans="9:10" x14ac:dyDescent="0.25">
      <c r="I10547" s="199"/>
      <c r="J10547" s="199"/>
    </row>
    <row r="10548" spans="9:10" x14ac:dyDescent="0.25">
      <c r="I10548" s="199"/>
      <c r="J10548" s="199"/>
    </row>
    <row r="10549" spans="9:10" x14ac:dyDescent="0.25">
      <c r="I10549" s="199"/>
      <c r="J10549" s="199"/>
    </row>
    <row r="10550" spans="9:10" x14ac:dyDescent="0.25">
      <c r="I10550" s="199"/>
      <c r="J10550" s="199"/>
    </row>
    <row r="10551" spans="9:10" x14ac:dyDescent="0.25">
      <c r="I10551" s="199"/>
      <c r="J10551" s="199"/>
    </row>
    <row r="10552" spans="9:10" x14ac:dyDescent="0.25">
      <c r="I10552" s="199"/>
      <c r="J10552" s="199"/>
    </row>
    <row r="10553" spans="9:10" x14ac:dyDescent="0.25">
      <c r="I10553" s="199"/>
      <c r="J10553" s="199"/>
    </row>
    <row r="10554" spans="9:10" x14ac:dyDescent="0.25">
      <c r="I10554" s="199"/>
      <c r="J10554" s="199"/>
    </row>
    <row r="10555" spans="9:10" x14ac:dyDescent="0.25">
      <c r="I10555" s="199"/>
      <c r="J10555" s="199"/>
    </row>
    <row r="10556" spans="9:10" x14ac:dyDescent="0.25">
      <c r="I10556" s="199"/>
      <c r="J10556" s="199"/>
    </row>
    <row r="10557" spans="9:10" x14ac:dyDescent="0.25">
      <c r="I10557" s="199"/>
      <c r="J10557" s="199"/>
    </row>
    <row r="10558" spans="9:10" x14ac:dyDescent="0.25">
      <c r="I10558" s="199"/>
      <c r="J10558" s="199"/>
    </row>
    <row r="10559" spans="9:10" x14ac:dyDescent="0.25">
      <c r="I10559" s="199"/>
      <c r="J10559" s="199"/>
    </row>
    <row r="10560" spans="9:10" x14ac:dyDescent="0.25">
      <c r="I10560" s="199"/>
      <c r="J10560" s="199"/>
    </row>
    <row r="10561" spans="9:10" x14ac:dyDescent="0.25">
      <c r="I10561" s="199"/>
      <c r="J10561" s="199"/>
    </row>
    <row r="10562" spans="9:10" x14ac:dyDescent="0.25">
      <c r="I10562" s="199"/>
      <c r="J10562" s="199"/>
    </row>
    <row r="10563" spans="9:10" x14ac:dyDescent="0.25">
      <c r="I10563" s="199"/>
      <c r="J10563" s="199"/>
    </row>
    <row r="10564" spans="9:10" x14ac:dyDescent="0.25">
      <c r="I10564" s="199"/>
      <c r="J10564" s="199"/>
    </row>
    <row r="10565" spans="9:10" x14ac:dyDescent="0.25">
      <c r="I10565" s="199"/>
      <c r="J10565" s="199"/>
    </row>
    <row r="10566" spans="9:10" x14ac:dyDescent="0.25">
      <c r="I10566" s="199"/>
      <c r="J10566" s="199"/>
    </row>
    <row r="10567" spans="9:10" x14ac:dyDescent="0.25">
      <c r="I10567" s="199"/>
      <c r="J10567" s="199"/>
    </row>
    <row r="10568" spans="9:10" x14ac:dyDescent="0.25">
      <c r="I10568" s="199"/>
      <c r="J10568" s="199"/>
    </row>
    <row r="10569" spans="9:10" x14ac:dyDescent="0.25">
      <c r="I10569" s="199"/>
      <c r="J10569" s="199"/>
    </row>
    <row r="10570" spans="9:10" x14ac:dyDescent="0.25">
      <c r="I10570" s="199"/>
      <c r="J10570" s="199"/>
    </row>
    <row r="10571" spans="9:10" x14ac:dyDescent="0.25">
      <c r="I10571" s="199"/>
      <c r="J10571" s="199"/>
    </row>
    <row r="10572" spans="9:10" x14ac:dyDescent="0.25">
      <c r="I10572" s="199"/>
      <c r="J10572" s="199"/>
    </row>
    <row r="10573" spans="9:10" x14ac:dyDescent="0.25">
      <c r="I10573" s="199"/>
      <c r="J10573" s="199"/>
    </row>
    <row r="10574" spans="9:10" x14ac:dyDescent="0.25">
      <c r="I10574" s="199"/>
      <c r="J10574" s="199"/>
    </row>
    <row r="10575" spans="9:10" x14ac:dyDescent="0.25">
      <c r="I10575" s="199"/>
      <c r="J10575" s="199"/>
    </row>
    <row r="10576" spans="9:10" x14ac:dyDescent="0.25">
      <c r="I10576" s="199"/>
      <c r="J10576" s="199"/>
    </row>
    <row r="10577" spans="9:10" x14ac:dyDescent="0.25">
      <c r="I10577" s="199"/>
      <c r="J10577" s="199"/>
    </row>
    <row r="10578" spans="9:10" x14ac:dyDescent="0.25">
      <c r="I10578" s="199"/>
      <c r="J10578" s="199"/>
    </row>
    <row r="10579" spans="9:10" x14ac:dyDescent="0.25">
      <c r="I10579" s="199"/>
      <c r="J10579" s="199"/>
    </row>
    <row r="10580" spans="9:10" x14ac:dyDescent="0.25">
      <c r="I10580" s="199"/>
      <c r="J10580" s="199"/>
    </row>
    <row r="10581" spans="9:10" x14ac:dyDescent="0.25">
      <c r="I10581" s="199"/>
      <c r="J10581" s="199"/>
    </row>
    <row r="10582" spans="9:10" x14ac:dyDescent="0.25">
      <c r="I10582" s="199"/>
      <c r="J10582" s="199"/>
    </row>
    <row r="10583" spans="9:10" x14ac:dyDescent="0.25">
      <c r="I10583" s="199"/>
      <c r="J10583" s="199"/>
    </row>
    <row r="10584" spans="9:10" x14ac:dyDescent="0.25">
      <c r="I10584" s="199"/>
      <c r="J10584" s="199"/>
    </row>
    <row r="10585" spans="9:10" x14ac:dyDescent="0.25">
      <c r="I10585" s="199"/>
      <c r="J10585" s="199"/>
    </row>
    <row r="10586" spans="9:10" x14ac:dyDescent="0.25">
      <c r="I10586" s="199"/>
      <c r="J10586" s="199"/>
    </row>
    <row r="10587" spans="9:10" x14ac:dyDescent="0.25">
      <c r="I10587" s="199"/>
      <c r="J10587" s="199"/>
    </row>
    <row r="10588" spans="9:10" x14ac:dyDescent="0.25">
      <c r="I10588" s="199"/>
      <c r="J10588" s="199"/>
    </row>
    <row r="10589" spans="9:10" x14ac:dyDescent="0.25">
      <c r="I10589" s="199"/>
      <c r="J10589" s="199"/>
    </row>
    <row r="10590" spans="9:10" x14ac:dyDescent="0.25">
      <c r="I10590" s="199"/>
      <c r="J10590" s="199"/>
    </row>
    <row r="10591" spans="9:10" x14ac:dyDescent="0.25">
      <c r="I10591" s="199"/>
      <c r="J10591" s="199"/>
    </row>
    <row r="10592" spans="9:10" x14ac:dyDescent="0.25">
      <c r="I10592" s="199"/>
      <c r="J10592" s="199"/>
    </row>
    <row r="10593" spans="9:10" x14ac:dyDescent="0.25">
      <c r="I10593" s="199"/>
      <c r="J10593" s="199"/>
    </row>
    <row r="10594" spans="9:10" x14ac:dyDescent="0.25">
      <c r="I10594" s="199"/>
      <c r="J10594" s="199"/>
    </row>
    <row r="10595" spans="9:10" x14ac:dyDescent="0.25">
      <c r="I10595" s="199"/>
      <c r="J10595" s="199"/>
    </row>
    <row r="10596" spans="9:10" x14ac:dyDescent="0.25">
      <c r="I10596" s="199"/>
      <c r="J10596" s="199"/>
    </row>
    <row r="10597" spans="9:10" x14ac:dyDescent="0.25">
      <c r="I10597" s="199"/>
      <c r="J10597" s="199"/>
    </row>
    <row r="10598" spans="9:10" x14ac:dyDescent="0.25">
      <c r="I10598" s="199"/>
      <c r="J10598" s="199"/>
    </row>
    <row r="10599" spans="9:10" x14ac:dyDescent="0.25">
      <c r="I10599" s="199"/>
      <c r="J10599" s="199"/>
    </row>
    <row r="10600" spans="9:10" x14ac:dyDescent="0.25">
      <c r="I10600" s="199"/>
      <c r="J10600" s="199"/>
    </row>
    <row r="10601" spans="9:10" x14ac:dyDescent="0.25">
      <c r="I10601" s="199"/>
      <c r="J10601" s="199"/>
    </row>
    <row r="10602" spans="9:10" x14ac:dyDescent="0.25">
      <c r="I10602" s="199"/>
      <c r="J10602" s="199"/>
    </row>
    <row r="10603" spans="9:10" x14ac:dyDescent="0.25">
      <c r="I10603" s="199"/>
      <c r="J10603" s="199"/>
    </row>
    <row r="10604" spans="9:10" x14ac:dyDescent="0.25">
      <c r="I10604" s="199"/>
      <c r="J10604" s="199"/>
    </row>
    <row r="10605" spans="9:10" x14ac:dyDescent="0.25">
      <c r="I10605" s="199"/>
      <c r="J10605" s="199"/>
    </row>
    <row r="10606" spans="9:10" x14ac:dyDescent="0.25">
      <c r="I10606" s="199"/>
      <c r="J10606" s="199"/>
    </row>
    <row r="10607" spans="9:10" x14ac:dyDescent="0.25">
      <c r="I10607" s="199"/>
      <c r="J10607" s="199"/>
    </row>
    <row r="10608" spans="9:10" x14ac:dyDescent="0.25">
      <c r="I10608" s="199"/>
      <c r="J10608" s="199"/>
    </row>
    <row r="10609" spans="9:10" x14ac:dyDescent="0.25">
      <c r="I10609" s="199"/>
      <c r="J10609" s="199"/>
    </row>
    <row r="10610" spans="9:10" x14ac:dyDescent="0.25">
      <c r="I10610" s="199"/>
      <c r="J10610" s="199"/>
    </row>
    <row r="10611" spans="9:10" x14ac:dyDescent="0.25">
      <c r="I10611" s="199"/>
      <c r="J10611" s="199"/>
    </row>
    <row r="10612" spans="9:10" x14ac:dyDescent="0.25">
      <c r="I10612" s="199"/>
      <c r="J10612" s="199"/>
    </row>
    <row r="10613" spans="9:10" x14ac:dyDescent="0.25">
      <c r="I10613" s="199"/>
      <c r="J10613" s="199"/>
    </row>
    <row r="10614" spans="9:10" x14ac:dyDescent="0.25">
      <c r="I10614" s="199"/>
      <c r="J10614" s="199"/>
    </row>
    <row r="10615" spans="9:10" x14ac:dyDescent="0.25">
      <c r="I10615" s="199"/>
      <c r="J10615" s="199"/>
    </row>
    <row r="10616" spans="9:10" x14ac:dyDescent="0.25">
      <c r="I10616" s="199"/>
      <c r="J10616" s="199"/>
    </row>
    <row r="10617" spans="9:10" x14ac:dyDescent="0.25">
      <c r="I10617" s="199"/>
      <c r="J10617" s="199"/>
    </row>
    <row r="10618" spans="9:10" x14ac:dyDescent="0.25">
      <c r="I10618" s="199"/>
      <c r="J10618" s="199"/>
    </row>
    <row r="10619" spans="9:10" x14ac:dyDescent="0.25">
      <c r="I10619" s="199"/>
      <c r="J10619" s="199"/>
    </row>
    <row r="10620" spans="9:10" x14ac:dyDescent="0.25">
      <c r="I10620" s="199"/>
      <c r="J10620" s="199"/>
    </row>
    <row r="10621" spans="9:10" x14ac:dyDescent="0.25">
      <c r="I10621" s="199"/>
      <c r="J10621" s="199"/>
    </row>
    <row r="10622" spans="9:10" x14ac:dyDescent="0.25">
      <c r="I10622" s="199"/>
      <c r="J10622" s="199"/>
    </row>
    <row r="10623" spans="9:10" x14ac:dyDescent="0.25">
      <c r="I10623" s="199"/>
      <c r="J10623" s="199"/>
    </row>
    <row r="10624" spans="9:10" x14ac:dyDescent="0.25">
      <c r="I10624" s="199"/>
      <c r="J10624" s="199"/>
    </row>
    <row r="10625" spans="9:10" x14ac:dyDescent="0.25">
      <c r="I10625" s="199"/>
      <c r="J10625" s="199"/>
    </row>
    <row r="10626" spans="9:10" x14ac:dyDescent="0.25">
      <c r="I10626" s="199"/>
      <c r="J10626" s="199"/>
    </row>
    <row r="10627" spans="9:10" x14ac:dyDescent="0.25">
      <c r="I10627" s="199"/>
      <c r="J10627" s="199"/>
    </row>
    <row r="10628" spans="9:10" x14ac:dyDescent="0.25">
      <c r="I10628" s="199"/>
      <c r="J10628" s="199"/>
    </row>
    <row r="10629" spans="9:10" x14ac:dyDescent="0.25">
      <c r="I10629" s="199"/>
      <c r="J10629" s="199"/>
    </row>
    <row r="10630" spans="9:10" x14ac:dyDescent="0.25">
      <c r="I10630" s="199"/>
      <c r="J10630" s="199"/>
    </row>
    <row r="10631" spans="9:10" x14ac:dyDescent="0.25">
      <c r="I10631" s="199"/>
      <c r="J10631" s="199"/>
    </row>
    <row r="10632" spans="9:10" x14ac:dyDescent="0.25">
      <c r="I10632" s="199"/>
      <c r="J10632" s="199"/>
    </row>
    <row r="10633" spans="9:10" x14ac:dyDescent="0.25">
      <c r="I10633" s="199"/>
      <c r="J10633" s="199"/>
    </row>
    <row r="10634" spans="9:10" x14ac:dyDescent="0.25">
      <c r="I10634" s="199"/>
      <c r="J10634" s="199"/>
    </row>
    <row r="10635" spans="9:10" x14ac:dyDescent="0.25">
      <c r="I10635" s="199"/>
      <c r="J10635" s="199"/>
    </row>
    <row r="10636" spans="9:10" x14ac:dyDescent="0.25">
      <c r="I10636" s="199"/>
      <c r="J10636" s="199"/>
    </row>
    <row r="10637" spans="9:10" x14ac:dyDescent="0.25">
      <c r="I10637" s="199"/>
      <c r="J10637" s="199"/>
    </row>
    <row r="10638" spans="9:10" x14ac:dyDescent="0.25">
      <c r="I10638" s="199"/>
      <c r="J10638" s="199"/>
    </row>
    <row r="10639" spans="9:10" x14ac:dyDescent="0.25">
      <c r="I10639" s="199"/>
      <c r="J10639" s="199"/>
    </row>
    <row r="10640" spans="9:10" x14ac:dyDescent="0.25">
      <c r="I10640" s="199"/>
      <c r="J10640" s="199"/>
    </row>
    <row r="10641" spans="9:10" x14ac:dyDescent="0.25">
      <c r="I10641" s="199"/>
      <c r="J10641" s="199"/>
    </row>
    <row r="10642" spans="9:10" x14ac:dyDescent="0.25">
      <c r="I10642" s="199"/>
      <c r="J10642" s="199"/>
    </row>
    <row r="10643" spans="9:10" x14ac:dyDescent="0.25">
      <c r="I10643" s="199"/>
      <c r="J10643" s="199"/>
    </row>
    <row r="10644" spans="9:10" x14ac:dyDescent="0.25">
      <c r="I10644" s="199"/>
      <c r="J10644" s="199"/>
    </row>
    <row r="10645" spans="9:10" x14ac:dyDescent="0.25">
      <c r="I10645" s="199"/>
      <c r="J10645" s="199"/>
    </row>
    <row r="10646" spans="9:10" x14ac:dyDescent="0.25">
      <c r="I10646" s="199"/>
      <c r="J10646" s="199"/>
    </row>
    <row r="10647" spans="9:10" x14ac:dyDescent="0.25">
      <c r="I10647" s="199"/>
      <c r="J10647" s="199"/>
    </row>
    <row r="10648" spans="9:10" x14ac:dyDescent="0.25">
      <c r="I10648" s="199"/>
      <c r="J10648" s="199"/>
    </row>
    <row r="10649" spans="9:10" x14ac:dyDescent="0.25">
      <c r="I10649" s="199"/>
      <c r="J10649" s="199"/>
    </row>
    <row r="10650" spans="9:10" x14ac:dyDescent="0.25">
      <c r="I10650" s="199"/>
      <c r="J10650" s="199"/>
    </row>
    <row r="10651" spans="9:10" x14ac:dyDescent="0.25">
      <c r="I10651" s="199"/>
      <c r="J10651" s="199"/>
    </row>
    <row r="10652" spans="9:10" x14ac:dyDescent="0.25">
      <c r="I10652" s="199"/>
      <c r="J10652" s="199"/>
    </row>
    <row r="10653" spans="9:10" x14ac:dyDescent="0.25">
      <c r="I10653" s="199"/>
      <c r="J10653" s="199"/>
    </row>
    <row r="10654" spans="9:10" x14ac:dyDescent="0.25">
      <c r="I10654" s="199"/>
      <c r="J10654" s="199"/>
    </row>
    <row r="10655" spans="9:10" x14ac:dyDescent="0.25">
      <c r="I10655" s="199"/>
      <c r="J10655" s="199"/>
    </row>
    <row r="10656" spans="9:10" x14ac:dyDescent="0.25">
      <c r="I10656" s="199"/>
      <c r="J10656" s="199"/>
    </row>
    <row r="10657" spans="9:10" x14ac:dyDescent="0.25">
      <c r="I10657" s="199"/>
      <c r="J10657" s="199"/>
    </row>
    <row r="10658" spans="9:10" x14ac:dyDescent="0.25">
      <c r="I10658" s="199"/>
      <c r="J10658" s="199"/>
    </row>
    <row r="10659" spans="9:10" x14ac:dyDescent="0.25">
      <c r="I10659" s="199"/>
      <c r="J10659" s="199"/>
    </row>
    <row r="10660" spans="9:10" x14ac:dyDescent="0.25">
      <c r="I10660" s="199"/>
      <c r="J10660" s="199"/>
    </row>
    <row r="10661" spans="9:10" x14ac:dyDescent="0.25">
      <c r="I10661" s="199"/>
      <c r="J10661" s="199"/>
    </row>
    <row r="10662" spans="9:10" x14ac:dyDescent="0.25">
      <c r="I10662" s="199"/>
      <c r="J10662" s="199"/>
    </row>
    <row r="10663" spans="9:10" x14ac:dyDescent="0.25">
      <c r="I10663" s="199"/>
      <c r="J10663" s="199"/>
    </row>
    <row r="10664" spans="9:10" x14ac:dyDescent="0.25">
      <c r="I10664" s="199"/>
      <c r="J10664" s="199"/>
    </row>
    <row r="10665" spans="9:10" x14ac:dyDescent="0.25">
      <c r="I10665" s="199"/>
      <c r="J10665" s="199"/>
    </row>
    <row r="10666" spans="9:10" x14ac:dyDescent="0.25">
      <c r="I10666" s="199"/>
      <c r="J10666" s="199"/>
    </row>
    <row r="10667" spans="9:10" x14ac:dyDescent="0.25">
      <c r="I10667" s="199"/>
      <c r="J10667" s="199"/>
    </row>
    <row r="10668" spans="9:10" x14ac:dyDescent="0.25">
      <c r="I10668" s="199"/>
      <c r="J10668" s="199"/>
    </row>
    <row r="10669" spans="9:10" x14ac:dyDescent="0.25">
      <c r="I10669" s="199"/>
      <c r="J10669" s="199"/>
    </row>
    <row r="10670" spans="9:10" x14ac:dyDescent="0.25">
      <c r="I10670" s="199"/>
      <c r="J10670" s="199"/>
    </row>
    <row r="10671" spans="9:10" x14ac:dyDescent="0.25">
      <c r="I10671" s="199"/>
      <c r="J10671" s="199"/>
    </row>
    <row r="10672" spans="9:10" x14ac:dyDescent="0.25">
      <c r="I10672" s="199"/>
      <c r="J10672" s="199"/>
    </row>
    <row r="10673" spans="9:10" x14ac:dyDescent="0.25">
      <c r="I10673" s="199"/>
      <c r="J10673" s="199"/>
    </row>
    <row r="10674" spans="9:10" x14ac:dyDescent="0.25">
      <c r="I10674" s="199"/>
      <c r="J10674" s="199"/>
    </row>
    <row r="10675" spans="9:10" x14ac:dyDescent="0.25">
      <c r="I10675" s="199"/>
      <c r="J10675" s="199"/>
    </row>
    <row r="10676" spans="9:10" x14ac:dyDescent="0.25">
      <c r="I10676" s="199"/>
      <c r="J10676" s="199"/>
    </row>
    <row r="10677" spans="9:10" x14ac:dyDescent="0.25">
      <c r="I10677" s="199"/>
      <c r="J10677" s="199"/>
    </row>
    <row r="10678" spans="9:10" x14ac:dyDescent="0.25">
      <c r="I10678" s="199"/>
      <c r="J10678" s="199"/>
    </row>
    <row r="10679" spans="9:10" x14ac:dyDescent="0.25">
      <c r="I10679" s="199"/>
      <c r="J10679" s="199"/>
    </row>
    <row r="10680" spans="9:10" x14ac:dyDescent="0.25">
      <c r="I10680" s="199"/>
      <c r="J10680" s="199"/>
    </row>
    <row r="10681" spans="9:10" x14ac:dyDescent="0.25">
      <c r="I10681" s="199"/>
      <c r="J10681" s="199"/>
    </row>
    <row r="10682" spans="9:10" x14ac:dyDescent="0.25">
      <c r="I10682" s="199"/>
      <c r="J10682" s="199"/>
    </row>
    <row r="10683" spans="9:10" x14ac:dyDescent="0.25">
      <c r="I10683" s="199"/>
      <c r="J10683" s="199"/>
    </row>
    <row r="10684" spans="9:10" x14ac:dyDescent="0.25">
      <c r="I10684" s="199"/>
      <c r="J10684" s="199"/>
    </row>
    <row r="10685" spans="9:10" x14ac:dyDescent="0.25">
      <c r="I10685" s="199"/>
      <c r="J10685" s="199"/>
    </row>
    <row r="10686" spans="9:10" x14ac:dyDescent="0.25">
      <c r="I10686" s="199"/>
      <c r="J10686" s="199"/>
    </row>
    <row r="10687" spans="9:10" x14ac:dyDescent="0.25">
      <c r="I10687" s="199"/>
      <c r="J10687" s="199"/>
    </row>
    <row r="10688" spans="9:10" x14ac:dyDescent="0.25">
      <c r="I10688" s="199"/>
      <c r="J10688" s="199"/>
    </row>
    <row r="10689" spans="9:10" x14ac:dyDescent="0.25">
      <c r="I10689" s="199"/>
      <c r="J10689" s="199"/>
    </row>
    <row r="10690" spans="9:10" x14ac:dyDescent="0.25">
      <c r="I10690" s="199"/>
      <c r="J10690" s="199"/>
    </row>
    <row r="10691" spans="9:10" x14ac:dyDescent="0.25">
      <c r="I10691" s="199"/>
      <c r="J10691" s="199"/>
    </row>
    <row r="10692" spans="9:10" x14ac:dyDescent="0.25">
      <c r="I10692" s="199"/>
      <c r="J10692" s="199"/>
    </row>
    <row r="10693" spans="9:10" x14ac:dyDescent="0.25">
      <c r="I10693" s="199"/>
      <c r="J10693" s="199"/>
    </row>
    <row r="10694" spans="9:10" x14ac:dyDescent="0.25">
      <c r="I10694" s="199"/>
      <c r="J10694" s="199"/>
    </row>
    <row r="10695" spans="9:10" x14ac:dyDescent="0.25">
      <c r="I10695" s="199"/>
      <c r="J10695" s="199"/>
    </row>
    <row r="10696" spans="9:10" x14ac:dyDescent="0.25">
      <c r="I10696" s="199"/>
      <c r="J10696" s="199"/>
    </row>
    <row r="10697" spans="9:10" x14ac:dyDescent="0.25">
      <c r="I10697" s="199"/>
      <c r="J10697" s="199"/>
    </row>
    <row r="10698" spans="9:10" x14ac:dyDescent="0.25">
      <c r="I10698" s="199"/>
      <c r="J10698" s="199"/>
    </row>
    <row r="10699" spans="9:10" x14ac:dyDescent="0.25">
      <c r="I10699" s="199"/>
      <c r="J10699" s="199"/>
    </row>
    <row r="10700" spans="9:10" x14ac:dyDescent="0.25">
      <c r="I10700" s="199"/>
      <c r="J10700" s="199"/>
    </row>
    <row r="10701" spans="9:10" x14ac:dyDescent="0.25">
      <c r="I10701" s="199"/>
      <c r="J10701" s="199"/>
    </row>
    <row r="10702" spans="9:10" x14ac:dyDescent="0.25">
      <c r="I10702" s="199"/>
      <c r="J10702" s="199"/>
    </row>
    <row r="10703" spans="9:10" x14ac:dyDescent="0.25">
      <c r="I10703" s="199"/>
      <c r="J10703" s="199"/>
    </row>
    <row r="10704" spans="9:10" x14ac:dyDescent="0.25">
      <c r="I10704" s="199"/>
      <c r="J10704" s="199"/>
    </row>
    <row r="10705" spans="9:10" x14ac:dyDescent="0.25">
      <c r="I10705" s="199"/>
      <c r="J10705" s="199"/>
    </row>
    <row r="10706" spans="9:10" x14ac:dyDescent="0.25">
      <c r="I10706" s="199"/>
      <c r="J10706" s="199"/>
    </row>
    <row r="10707" spans="9:10" x14ac:dyDescent="0.25">
      <c r="I10707" s="199"/>
      <c r="J10707" s="199"/>
    </row>
    <row r="10708" spans="9:10" x14ac:dyDescent="0.25">
      <c r="I10708" s="199"/>
      <c r="J10708" s="199"/>
    </row>
    <row r="10709" spans="9:10" x14ac:dyDescent="0.25">
      <c r="I10709" s="199"/>
      <c r="J10709" s="199"/>
    </row>
    <row r="10710" spans="9:10" x14ac:dyDescent="0.25">
      <c r="I10710" s="199"/>
      <c r="J10710" s="199"/>
    </row>
    <row r="10711" spans="9:10" x14ac:dyDescent="0.25">
      <c r="I10711" s="199"/>
      <c r="J10711" s="199"/>
    </row>
    <row r="10712" spans="9:10" x14ac:dyDescent="0.25">
      <c r="I10712" s="199"/>
      <c r="J10712" s="199"/>
    </row>
    <row r="10713" spans="9:10" x14ac:dyDescent="0.25">
      <c r="I10713" s="199"/>
      <c r="J10713" s="199"/>
    </row>
    <row r="10714" spans="9:10" x14ac:dyDescent="0.25">
      <c r="I10714" s="199"/>
      <c r="J10714" s="199"/>
    </row>
    <row r="10715" spans="9:10" x14ac:dyDescent="0.25">
      <c r="I10715" s="199"/>
      <c r="J10715" s="199"/>
    </row>
    <row r="10716" spans="9:10" x14ac:dyDescent="0.25">
      <c r="I10716" s="199"/>
      <c r="J10716" s="199"/>
    </row>
    <row r="10717" spans="9:10" x14ac:dyDescent="0.25">
      <c r="I10717" s="199"/>
      <c r="J10717" s="199"/>
    </row>
    <row r="10718" spans="9:10" x14ac:dyDescent="0.25">
      <c r="I10718" s="199"/>
      <c r="J10718" s="199"/>
    </row>
    <row r="10719" spans="9:10" x14ac:dyDescent="0.25">
      <c r="I10719" s="199"/>
      <c r="J10719" s="199"/>
    </row>
    <row r="10720" spans="9:10" x14ac:dyDescent="0.25">
      <c r="I10720" s="199"/>
      <c r="J10720" s="199"/>
    </row>
    <row r="10721" spans="9:10" x14ac:dyDescent="0.25">
      <c r="I10721" s="199"/>
      <c r="J10721" s="199"/>
    </row>
    <row r="10722" spans="9:10" x14ac:dyDescent="0.25">
      <c r="I10722" s="199"/>
      <c r="J10722" s="199"/>
    </row>
    <row r="10723" spans="9:10" x14ac:dyDescent="0.25">
      <c r="I10723" s="199"/>
      <c r="J10723" s="199"/>
    </row>
    <row r="10724" spans="9:10" x14ac:dyDescent="0.25">
      <c r="I10724" s="199"/>
      <c r="J10724" s="199"/>
    </row>
    <row r="10725" spans="9:10" x14ac:dyDescent="0.25">
      <c r="I10725" s="199"/>
      <c r="J10725" s="199"/>
    </row>
    <row r="10726" spans="9:10" x14ac:dyDescent="0.25">
      <c r="I10726" s="199"/>
      <c r="J10726" s="199"/>
    </row>
    <row r="10727" spans="9:10" x14ac:dyDescent="0.25">
      <c r="I10727" s="199"/>
      <c r="J10727" s="199"/>
    </row>
    <row r="10728" spans="9:10" x14ac:dyDescent="0.25">
      <c r="I10728" s="199"/>
      <c r="J10728" s="199"/>
    </row>
    <row r="10729" spans="9:10" x14ac:dyDescent="0.25">
      <c r="I10729" s="199"/>
      <c r="J10729" s="199"/>
    </row>
    <row r="10730" spans="9:10" x14ac:dyDescent="0.25">
      <c r="I10730" s="199"/>
      <c r="J10730" s="199"/>
    </row>
    <row r="10731" spans="9:10" x14ac:dyDescent="0.25">
      <c r="I10731" s="199"/>
      <c r="J10731" s="199"/>
    </row>
    <row r="10732" spans="9:10" x14ac:dyDescent="0.25">
      <c r="I10732" s="199"/>
      <c r="J10732" s="199"/>
    </row>
    <row r="10733" spans="9:10" x14ac:dyDescent="0.25">
      <c r="I10733" s="199"/>
      <c r="J10733" s="199"/>
    </row>
    <row r="10734" spans="9:10" x14ac:dyDescent="0.25">
      <c r="I10734" s="199"/>
      <c r="J10734" s="199"/>
    </row>
    <row r="10735" spans="9:10" x14ac:dyDescent="0.25">
      <c r="I10735" s="199"/>
      <c r="J10735" s="199"/>
    </row>
    <row r="10736" spans="9:10" x14ac:dyDescent="0.25">
      <c r="I10736" s="199"/>
      <c r="J10736" s="199"/>
    </row>
    <row r="10737" spans="9:10" x14ac:dyDescent="0.25">
      <c r="I10737" s="199"/>
      <c r="J10737" s="199"/>
    </row>
    <row r="10738" spans="9:10" x14ac:dyDescent="0.25">
      <c r="I10738" s="199"/>
      <c r="J10738" s="199"/>
    </row>
    <row r="10739" spans="9:10" x14ac:dyDescent="0.25">
      <c r="I10739" s="199"/>
      <c r="J10739" s="199"/>
    </row>
    <row r="10740" spans="9:10" x14ac:dyDescent="0.25">
      <c r="I10740" s="199"/>
      <c r="J10740" s="199"/>
    </row>
    <row r="10741" spans="9:10" x14ac:dyDescent="0.25">
      <c r="I10741" s="199"/>
      <c r="J10741" s="199"/>
    </row>
    <row r="10742" spans="9:10" x14ac:dyDescent="0.25">
      <c r="I10742" s="199"/>
      <c r="J10742" s="199"/>
    </row>
    <row r="10743" spans="9:10" x14ac:dyDescent="0.25">
      <c r="I10743" s="199"/>
      <c r="J10743" s="199"/>
    </row>
    <row r="10744" spans="9:10" x14ac:dyDescent="0.25">
      <c r="I10744" s="199"/>
      <c r="J10744" s="199"/>
    </row>
    <row r="10745" spans="9:10" x14ac:dyDescent="0.25">
      <c r="I10745" s="199"/>
      <c r="J10745" s="199"/>
    </row>
    <row r="10746" spans="9:10" x14ac:dyDescent="0.25">
      <c r="I10746" s="199"/>
      <c r="J10746" s="199"/>
    </row>
    <row r="10747" spans="9:10" x14ac:dyDescent="0.25">
      <c r="I10747" s="199"/>
      <c r="J10747" s="199"/>
    </row>
    <row r="10748" spans="9:10" x14ac:dyDescent="0.25">
      <c r="I10748" s="199"/>
      <c r="J10748" s="199"/>
    </row>
    <row r="10749" spans="9:10" x14ac:dyDescent="0.25">
      <c r="I10749" s="199"/>
      <c r="J10749" s="199"/>
    </row>
    <row r="10750" spans="9:10" x14ac:dyDescent="0.25">
      <c r="I10750" s="199"/>
      <c r="J10750" s="199"/>
    </row>
    <row r="10751" spans="9:10" x14ac:dyDescent="0.25">
      <c r="I10751" s="199"/>
      <c r="J10751" s="199"/>
    </row>
    <row r="10752" spans="9:10" x14ac:dyDescent="0.25">
      <c r="I10752" s="199"/>
      <c r="J10752" s="199"/>
    </row>
    <row r="10753" spans="9:10" x14ac:dyDescent="0.25">
      <c r="I10753" s="199"/>
      <c r="J10753" s="199"/>
    </row>
    <row r="10754" spans="9:10" x14ac:dyDescent="0.25">
      <c r="I10754" s="199"/>
      <c r="J10754" s="199"/>
    </row>
    <row r="10755" spans="9:10" x14ac:dyDescent="0.25">
      <c r="I10755" s="199"/>
      <c r="J10755" s="199"/>
    </row>
    <row r="10756" spans="9:10" x14ac:dyDescent="0.25">
      <c r="I10756" s="199"/>
      <c r="J10756" s="199"/>
    </row>
    <row r="10757" spans="9:10" x14ac:dyDescent="0.25">
      <c r="I10757" s="199"/>
      <c r="J10757" s="199"/>
    </row>
    <row r="10758" spans="9:10" x14ac:dyDescent="0.25">
      <c r="I10758" s="199"/>
      <c r="J10758" s="199"/>
    </row>
    <row r="10759" spans="9:10" x14ac:dyDescent="0.25">
      <c r="I10759" s="199"/>
      <c r="J10759" s="199"/>
    </row>
    <row r="10760" spans="9:10" x14ac:dyDescent="0.25">
      <c r="I10760" s="199"/>
      <c r="J10760" s="199"/>
    </row>
    <row r="10761" spans="9:10" x14ac:dyDescent="0.25">
      <c r="I10761" s="199"/>
      <c r="J10761" s="199"/>
    </row>
    <row r="10762" spans="9:10" x14ac:dyDescent="0.25">
      <c r="I10762" s="199"/>
      <c r="J10762" s="199"/>
    </row>
    <row r="10763" spans="9:10" x14ac:dyDescent="0.25">
      <c r="I10763" s="199"/>
      <c r="J10763" s="199"/>
    </row>
    <row r="10764" spans="9:10" x14ac:dyDescent="0.25">
      <c r="I10764" s="199"/>
      <c r="J10764" s="199"/>
    </row>
    <row r="10765" spans="9:10" x14ac:dyDescent="0.25">
      <c r="I10765" s="199"/>
      <c r="J10765" s="199"/>
    </row>
    <row r="10766" spans="9:10" x14ac:dyDescent="0.25">
      <c r="I10766" s="199"/>
      <c r="J10766" s="199"/>
    </row>
    <row r="10767" spans="9:10" x14ac:dyDescent="0.25">
      <c r="I10767" s="199"/>
      <c r="J10767" s="199"/>
    </row>
    <row r="10768" spans="9:10" x14ac:dyDescent="0.25">
      <c r="I10768" s="199"/>
      <c r="J10768" s="199"/>
    </row>
    <row r="10769" spans="9:10" x14ac:dyDescent="0.25">
      <c r="I10769" s="199"/>
      <c r="J10769" s="199"/>
    </row>
    <row r="10770" spans="9:10" x14ac:dyDescent="0.25">
      <c r="I10770" s="199"/>
      <c r="J10770" s="199"/>
    </row>
    <row r="10771" spans="9:10" x14ac:dyDescent="0.25">
      <c r="I10771" s="199"/>
      <c r="J10771" s="199"/>
    </row>
    <row r="10772" spans="9:10" x14ac:dyDescent="0.25">
      <c r="I10772" s="199"/>
      <c r="J10772" s="199"/>
    </row>
    <row r="10773" spans="9:10" x14ac:dyDescent="0.25">
      <c r="I10773" s="199"/>
      <c r="J10773" s="199"/>
    </row>
    <row r="10774" spans="9:10" x14ac:dyDescent="0.25">
      <c r="I10774" s="199"/>
      <c r="J10774" s="199"/>
    </row>
    <row r="10775" spans="9:10" x14ac:dyDescent="0.25">
      <c r="I10775" s="199"/>
      <c r="J10775" s="199"/>
    </row>
    <row r="10776" spans="9:10" x14ac:dyDescent="0.25">
      <c r="I10776" s="199"/>
      <c r="J10776" s="199"/>
    </row>
    <row r="10777" spans="9:10" x14ac:dyDescent="0.25">
      <c r="I10777" s="199"/>
      <c r="J10777" s="199"/>
    </row>
    <row r="10778" spans="9:10" x14ac:dyDescent="0.25">
      <c r="I10778" s="199"/>
      <c r="J10778" s="199"/>
    </row>
    <row r="10779" spans="9:10" x14ac:dyDescent="0.25">
      <c r="I10779" s="199"/>
      <c r="J10779" s="199"/>
    </row>
    <row r="10780" spans="9:10" x14ac:dyDescent="0.25">
      <c r="I10780" s="199"/>
      <c r="J10780" s="199"/>
    </row>
    <row r="10781" spans="9:10" x14ac:dyDescent="0.25">
      <c r="I10781" s="199"/>
      <c r="J10781" s="199"/>
    </row>
    <row r="10782" spans="9:10" x14ac:dyDescent="0.25">
      <c r="I10782" s="199"/>
      <c r="J10782" s="199"/>
    </row>
    <row r="10783" spans="9:10" x14ac:dyDescent="0.25">
      <c r="I10783" s="199"/>
      <c r="J10783" s="199"/>
    </row>
    <row r="10784" spans="9:10" x14ac:dyDescent="0.25">
      <c r="I10784" s="199"/>
      <c r="J10784" s="199"/>
    </row>
    <row r="10785" spans="9:10" x14ac:dyDescent="0.25">
      <c r="I10785" s="199"/>
      <c r="J10785" s="199"/>
    </row>
    <row r="10786" spans="9:10" x14ac:dyDescent="0.25">
      <c r="I10786" s="199"/>
      <c r="J10786" s="199"/>
    </row>
    <row r="10787" spans="9:10" x14ac:dyDescent="0.25">
      <c r="I10787" s="199"/>
      <c r="J10787" s="199"/>
    </row>
    <row r="10788" spans="9:10" x14ac:dyDescent="0.25">
      <c r="I10788" s="199"/>
      <c r="J10788" s="199"/>
    </row>
    <row r="10789" spans="9:10" x14ac:dyDescent="0.25">
      <c r="I10789" s="199"/>
      <c r="J10789" s="199"/>
    </row>
    <row r="10790" spans="9:10" x14ac:dyDescent="0.25">
      <c r="I10790" s="199"/>
      <c r="J10790" s="199"/>
    </row>
    <row r="10791" spans="9:10" x14ac:dyDescent="0.25">
      <c r="I10791" s="199"/>
      <c r="J10791" s="199"/>
    </row>
    <row r="10792" spans="9:10" x14ac:dyDescent="0.25">
      <c r="I10792" s="199"/>
      <c r="J10792" s="199"/>
    </row>
    <row r="10793" spans="9:10" x14ac:dyDescent="0.25">
      <c r="I10793" s="199"/>
      <c r="J10793" s="199"/>
    </row>
    <row r="10794" spans="9:10" x14ac:dyDescent="0.25">
      <c r="I10794" s="199"/>
      <c r="J10794" s="199"/>
    </row>
    <row r="10795" spans="9:10" x14ac:dyDescent="0.25">
      <c r="I10795" s="199"/>
      <c r="J10795" s="199"/>
    </row>
    <row r="10796" spans="9:10" x14ac:dyDescent="0.25">
      <c r="I10796" s="199"/>
      <c r="J10796" s="199"/>
    </row>
    <row r="10797" spans="9:10" x14ac:dyDescent="0.25">
      <c r="I10797" s="199"/>
      <c r="J10797" s="199"/>
    </row>
    <row r="10798" spans="9:10" x14ac:dyDescent="0.25">
      <c r="I10798" s="199"/>
      <c r="J10798" s="199"/>
    </row>
    <row r="10799" spans="9:10" x14ac:dyDescent="0.25">
      <c r="I10799" s="199"/>
      <c r="J10799" s="199"/>
    </row>
    <row r="10800" spans="9:10" x14ac:dyDescent="0.25">
      <c r="I10800" s="199"/>
      <c r="J10800" s="199"/>
    </row>
    <row r="10801" spans="9:10" x14ac:dyDescent="0.25">
      <c r="I10801" s="199"/>
      <c r="J10801" s="199"/>
    </row>
    <row r="10802" spans="9:10" x14ac:dyDescent="0.25">
      <c r="I10802" s="199"/>
      <c r="J10802" s="199"/>
    </row>
    <row r="10803" spans="9:10" x14ac:dyDescent="0.25">
      <c r="I10803" s="199"/>
      <c r="J10803" s="199"/>
    </row>
    <row r="10804" spans="9:10" x14ac:dyDescent="0.25">
      <c r="I10804" s="199"/>
      <c r="J10804" s="199"/>
    </row>
    <row r="10805" spans="9:10" x14ac:dyDescent="0.25">
      <c r="I10805" s="199"/>
      <c r="J10805" s="199"/>
    </row>
    <row r="10806" spans="9:10" x14ac:dyDescent="0.25">
      <c r="I10806" s="199"/>
      <c r="J10806" s="199"/>
    </row>
    <row r="10807" spans="9:10" x14ac:dyDescent="0.25">
      <c r="I10807" s="199"/>
      <c r="J10807" s="199"/>
    </row>
    <row r="10808" spans="9:10" x14ac:dyDescent="0.25">
      <c r="I10808" s="199"/>
      <c r="J10808" s="199"/>
    </row>
    <row r="10809" spans="9:10" x14ac:dyDescent="0.25">
      <c r="I10809" s="199"/>
      <c r="J10809" s="199"/>
    </row>
    <row r="10810" spans="9:10" x14ac:dyDescent="0.25">
      <c r="I10810" s="199"/>
      <c r="J10810" s="199"/>
    </row>
    <row r="10811" spans="9:10" x14ac:dyDescent="0.25">
      <c r="I10811" s="199"/>
      <c r="J10811" s="199"/>
    </row>
    <row r="10812" spans="9:10" x14ac:dyDescent="0.25">
      <c r="I10812" s="199"/>
      <c r="J10812" s="199"/>
    </row>
    <row r="10813" spans="9:10" x14ac:dyDescent="0.25">
      <c r="I10813" s="199"/>
      <c r="J10813" s="199"/>
    </row>
    <row r="10814" spans="9:10" x14ac:dyDescent="0.25">
      <c r="I10814" s="199"/>
      <c r="J10814" s="199"/>
    </row>
    <row r="10815" spans="9:10" x14ac:dyDescent="0.25">
      <c r="I10815" s="199"/>
      <c r="J10815" s="199"/>
    </row>
    <row r="10816" spans="9:10" x14ac:dyDescent="0.25">
      <c r="I10816" s="199"/>
      <c r="J10816" s="199"/>
    </row>
    <row r="10817" spans="9:10" x14ac:dyDescent="0.25">
      <c r="I10817" s="199"/>
      <c r="J10817" s="199"/>
    </row>
    <row r="10818" spans="9:10" x14ac:dyDescent="0.25">
      <c r="I10818" s="199"/>
      <c r="J10818" s="199"/>
    </row>
    <row r="10819" spans="9:10" x14ac:dyDescent="0.25">
      <c r="I10819" s="199"/>
      <c r="J10819" s="199"/>
    </row>
    <row r="10820" spans="9:10" x14ac:dyDescent="0.25">
      <c r="I10820" s="199"/>
      <c r="J10820" s="199"/>
    </row>
    <row r="10821" spans="9:10" x14ac:dyDescent="0.25">
      <c r="I10821" s="199"/>
      <c r="J10821" s="199"/>
    </row>
    <row r="10822" spans="9:10" x14ac:dyDescent="0.25">
      <c r="I10822" s="199"/>
      <c r="J10822" s="199"/>
    </row>
    <row r="10823" spans="9:10" x14ac:dyDescent="0.25">
      <c r="I10823" s="199"/>
      <c r="J10823" s="199"/>
    </row>
    <row r="10824" spans="9:10" x14ac:dyDescent="0.25">
      <c r="I10824" s="199"/>
      <c r="J10824" s="199"/>
    </row>
    <row r="10825" spans="9:10" x14ac:dyDescent="0.25">
      <c r="I10825" s="199"/>
      <c r="J10825" s="199"/>
    </row>
    <row r="10826" spans="9:10" x14ac:dyDescent="0.25">
      <c r="I10826" s="199"/>
      <c r="J10826" s="199"/>
    </row>
    <row r="10827" spans="9:10" x14ac:dyDescent="0.25">
      <c r="I10827" s="199"/>
      <c r="J10827" s="199"/>
    </row>
    <row r="10828" spans="9:10" x14ac:dyDescent="0.25">
      <c r="I10828" s="199"/>
      <c r="J10828" s="199"/>
    </row>
    <row r="10829" spans="9:10" x14ac:dyDescent="0.25">
      <c r="I10829" s="199"/>
      <c r="J10829" s="199"/>
    </row>
    <row r="10830" spans="9:10" x14ac:dyDescent="0.25">
      <c r="I10830" s="199"/>
      <c r="J10830" s="199"/>
    </row>
    <row r="10831" spans="9:10" x14ac:dyDescent="0.25">
      <c r="I10831" s="199"/>
      <c r="J10831" s="199"/>
    </row>
    <row r="10832" spans="9:10" x14ac:dyDescent="0.25">
      <c r="I10832" s="199"/>
      <c r="J10832" s="199"/>
    </row>
    <row r="10833" spans="9:10" x14ac:dyDescent="0.25">
      <c r="I10833" s="199"/>
      <c r="J10833" s="199"/>
    </row>
    <row r="10834" spans="9:10" x14ac:dyDescent="0.25">
      <c r="I10834" s="199"/>
      <c r="J10834" s="199"/>
    </row>
    <row r="10835" spans="9:10" x14ac:dyDescent="0.25">
      <c r="I10835" s="199"/>
      <c r="J10835" s="199"/>
    </row>
    <row r="10836" spans="9:10" x14ac:dyDescent="0.25">
      <c r="I10836" s="199"/>
      <c r="J10836" s="199"/>
    </row>
    <row r="10837" spans="9:10" x14ac:dyDescent="0.25">
      <c r="I10837" s="199"/>
      <c r="J10837" s="199"/>
    </row>
    <row r="10838" spans="9:10" x14ac:dyDescent="0.25">
      <c r="I10838" s="199"/>
      <c r="J10838" s="199"/>
    </row>
    <row r="10839" spans="9:10" x14ac:dyDescent="0.25">
      <c r="I10839" s="199"/>
      <c r="J10839" s="199"/>
    </row>
    <row r="10840" spans="9:10" x14ac:dyDescent="0.25">
      <c r="I10840" s="199"/>
      <c r="J10840" s="199"/>
    </row>
    <row r="10841" spans="9:10" x14ac:dyDescent="0.25">
      <c r="I10841" s="199"/>
      <c r="J10841" s="199"/>
    </row>
    <row r="10842" spans="9:10" x14ac:dyDescent="0.25">
      <c r="I10842" s="199"/>
      <c r="J10842" s="199"/>
    </row>
    <row r="10843" spans="9:10" x14ac:dyDescent="0.25">
      <c r="I10843" s="199"/>
      <c r="J10843" s="199"/>
    </row>
    <row r="10844" spans="9:10" x14ac:dyDescent="0.25">
      <c r="I10844" s="199"/>
      <c r="J10844" s="199"/>
    </row>
    <row r="10845" spans="9:10" x14ac:dyDescent="0.25">
      <c r="I10845" s="199"/>
      <c r="J10845" s="199"/>
    </row>
    <row r="10846" spans="9:10" x14ac:dyDescent="0.25">
      <c r="I10846" s="199"/>
      <c r="J10846" s="199"/>
    </row>
    <row r="10847" spans="9:10" x14ac:dyDescent="0.25">
      <c r="I10847" s="199"/>
      <c r="J10847" s="199"/>
    </row>
    <row r="10848" spans="9:10" x14ac:dyDescent="0.25">
      <c r="I10848" s="199"/>
      <c r="J10848" s="199"/>
    </row>
    <row r="10849" spans="9:10" x14ac:dyDescent="0.25">
      <c r="I10849" s="199"/>
      <c r="J10849" s="199"/>
    </row>
    <row r="10850" spans="9:10" x14ac:dyDescent="0.25">
      <c r="I10850" s="199"/>
      <c r="J10850" s="199"/>
    </row>
    <row r="10851" spans="9:10" x14ac:dyDescent="0.25">
      <c r="I10851" s="199"/>
      <c r="J10851" s="199"/>
    </row>
    <row r="10852" spans="9:10" x14ac:dyDescent="0.25">
      <c r="I10852" s="199"/>
      <c r="J10852" s="199"/>
    </row>
    <row r="10853" spans="9:10" x14ac:dyDescent="0.25">
      <c r="I10853" s="199"/>
      <c r="J10853" s="199"/>
    </row>
    <row r="10854" spans="9:10" x14ac:dyDescent="0.25">
      <c r="I10854" s="199"/>
      <c r="J10854" s="199"/>
    </row>
    <row r="10855" spans="9:10" x14ac:dyDescent="0.25">
      <c r="I10855" s="199"/>
      <c r="J10855" s="199"/>
    </row>
    <row r="10856" spans="9:10" x14ac:dyDescent="0.25">
      <c r="I10856" s="199"/>
      <c r="J10856" s="199"/>
    </row>
    <row r="10857" spans="9:10" x14ac:dyDescent="0.25">
      <c r="I10857" s="199"/>
      <c r="J10857" s="199"/>
    </row>
    <row r="10858" spans="9:10" x14ac:dyDescent="0.25">
      <c r="I10858" s="199"/>
      <c r="J10858" s="199"/>
    </row>
    <row r="10859" spans="9:10" x14ac:dyDescent="0.25">
      <c r="I10859" s="199"/>
      <c r="J10859" s="199"/>
    </row>
    <row r="10860" spans="9:10" x14ac:dyDescent="0.25">
      <c r="I10860" s="199"/>
      <c r="J10860" s="199"/>
    </row>
    <row r="10861" spans="9:10" x14ac:dyDescent="0.25">
      <c r="I10861" s="199"/>
      <c r="J10861" s="199"/>
    </row>
    <row r="10862" spans="9:10" x14ac:dyDescent="0.25">
      <c r="I10862" s="199"/>
      <c r="J10862" s="199"/>
    </row>
    <row r="10863" spans="9:10" x14ac:dyDescent="0.25">
      <c r="I10863" s="199"/>
      <c r="J10863" s="199"/>
    </row>
    <row r="10864" spans="9:10" x14ac:dyDescent="0.25">
      <c r="I10864" s="199"/>
      <c r="J10864" s="199"/>
    </row>
    <row r="10865" spans="9:10" x14ac:dyDescent="0.25">
      <c r="I10865" s="199"/>
      <c r="J10865" s="199"/>
    </row>
    <row r="10866" spans="9:10" x14ac:dyDescent="0.25">
      <c r="I10866" s="199"/>
      <c r="J10866" s="199"/>
    </row>
    <row r="10867" spans="9:10" x14ac:dyDescent="0.25">
      <c r="I10867" s="199"/>
      <c r="J10867" s="199"/>
    </row>
    <row r="10868" spans="9:10" x14ac:dyDescent="0.25">
      <c r="I10868" s="199"/>
      <c r="J10868" s="199"/>
    </row>
    <row r="10869" spans="9:10" x14ac:dyDescent="0.25">
      <c r="I10869" s="199"/>
      <c r="J10869" s="199"/>
    </row>
    <row r="10870" spans="9:10" x14ac:dyDescent="0.25">
      <c r="I10870" s="199"/>
      <c r="J10870" s="199"/>
    </row>
    <row r="10871" spans="9:10" x14ac:dyDescent="0.25">
      <c r="I10871" s="199"/>
      <c r="J10871" s="199"/>
    </row>
    <row r="10872" spans="9:10" x14ac:dyDescent="0.25">
      <c r="I10872" s="199"/>
      <c r="J10872" s="199"/>
    </row>
    <row r="10873" spans="9:10" x14ac:dyDescent="0.25">
      <c r="I10873" s="199"/>
      <c r="J10873" s="199"/>
    </row>
    <row r="10874" spans="9:10" x14ac:dyDescent="0.25">
      <c r="I10874" s="199"/>
      <c r="J10874" s="199"/>
    </row>
    <row r="10875" spans="9:10" x14ac:dyDescent="0.25">
      <c r="I10875" s="199"/>
      <c r="J10875" s="199"/>
    </row>
    <row r="10876" spans="9:10" x14ac:dyDescent="0.25">
      <c r="I10876" s="199"/>
      <c r="J10876" s="199"/>
    </row>
    <row r="10877" spans="9:10" x14ac:dyDescent="0.25">
      <c r="I10877" s="199"/>
      <c r="J10877" s="199"/>
    </row>
    <row r="10878" spans="9:10" x14ac:dyDescent="0.25">
      <c r="I10878" s="199"/>
      <c r="J10878" s="199"/>
    </row>
    <row r="10879" spans="9:10" x14ac:dyDescent="0.25">
      <c r="I10879" s="199"/>
      <c r="J10879" s="199"/>
    </row>
    <row r="10880" spans="9:10" x14ac:dyDescent="0.25">
      <c r="I10880" s="199"/>
      <c r="J10880" s="199"/>
    </row>
    <row r="10881" spans="9:10" x14ac:dyDescent="0.25">
      <c r="I10881" s="199"/>
      <c r="J10881" s="199"/>
    </row>
    <row r="10882" spans="9:10" x14ac:dyDescent="0.25">
      <c r="I10882" s="199"/>
      <c r="J10882" s="199"/>
    </row>
    <row r="10883" spans="9:10" x14ac:dyDescent="0.25">
      <c r="I10883" s="199"/>
      <c r="J10883" s="199"/>
    </row>
    <row r="10884" spans="9:10" x14ac:dyDescent="0.25">
      <c r="I10884" s="199"/>
      <c r="J10884" s="199"/>
    </row>
    <row r="10885" spans="9:10" x14ac:dyDescent="0.25">
      <c r="I10885" s="199"/>
      <c r="J10885" s="199"/>
    </row>
    <row r="10886" spans="9:10" x14ac:dyDescent="0.25">
      <c r="I10886" s="199"/>
      <c r="J10886" s="199"/>
    </row>
    <row r="10887" spans="9:10" x14ac:dyDescent="0.25">
      <c r="I10887" s="199"/>
      <c r="J10887" s="199"/>
    </row>
    <row r="10888" spans="9:10" x14ac:dyDescent="0.25">
      <c r="I10888" s="199"/>
      <c r="J10888" s="199"/>
    </row>
    <row r="10889" spans="9:10" x14ac:dyDescent="0.25">
      <c r="I10889" s="199"/>
      <c r="J10889" s="199"/>
    </row>
    <row r="10890" spans="9:10" x14ac:dyDescent="0.25">
      <c r="I10890" s="199"/>
      <c r="J10890" s="199"/>
    </row>
    <row r="10891" spans="9:10" x14ac:dyDescent="0.25">
      <c r="I10891" s="199"/>
      <c r="J10891" s="199"/>
    </row>
    <row r="10892" spans="9:10" x14ac:dyDescent="0.25">
      <c r="I10892" s="199"/>
      <c r="J10892" s="199"/>
    </row>
    <row r="10893" spans="9:10" x14ac:dyDescent="0.25">
      <c r="I10893" s="199"/>
      <c r="J10893" s="199"/>
    </row>
    <row r="10894" spans="9:10" x14ac:dyDescent="0.25">
      <c r="I10894" s="199"/>
      <c r="J10894" s="199"/>
    </row>
    <row r="10895" spans="9:10" x14ac:dyDescent="0.25">
      <c r="I10895" s="199"/>
      <c r="J10895" s="199"/>
    </row>
    <row r="10896" spans="9:10" x14ac:dyDescent="0.25">
      <c r="I10896" s="199"/>
      <c r="J10896" s="199"/>
    </row>
    <row r="10897" spans="9:10" x14ac:dyDescent="0.25">
      <c r="I10897" s="199"/>
      <c r="J10897" s="199"/>
    </row>
    <row r="10898" spans="9:10" x14ac:dyDescent="0.25">
      <c r="I10898" s="199"/>
      <c r="J10898" s="199"/>
    </row>
    <row r="10899" spans="9:10" x14ac:dyDescent="0.25">
      <c r="I10899" s="199"/>
      <c r="J10899" s="199"/>
    </row>
    <row r="10900" spans="9:10" x14ac:dyDescent="0.25">
      <c r="I10900" s="199"/>
      <c r="J10900" s="199"/>
    </row>
    <row r="10901" spans="9:10" x14ac:dyDescent="0.25">
      <c r="I10901" s="199"/>
      <c r="J10901" s="199"/>
    </row>
    <row r="10902" spans="9:10" x14ac:dyDescent="0.25">
      <c r="I10902" s="199"/>
      <c r="J10902" s="199"/>
    </row>
    <row r="10903" spans="9:10" x14ac:dyDescent="0.25">
      <c r="I10903" s="199"/>
      <c r="J10903" s="199"/>
    </row>
    <row r="10904" spans="9:10" x14ac:dyDescent="0.25">
      <c r="I10904" s="199"/>
      <c r="J10904" s="199"/>
    </row>
    <row r="10905" spans="9:10" x14ac:dyDescent="0.25">
      <c r="I10905" s="199"/>
      <c r="J10905" s="199"/>
    </row>
    <row r="10906" spans="9:10" x14ac:dyDescent="0.25">
      <c r="I10906" s="199"/>
      <c r="J10906" s="199"/>
    </row>
    <row r="10907" spans="9:10" x14ac:dyDescent="0.25">
      <c r="I10907" s="199"/>
      <c r="J10907" s="199"/>
    </row>
    <row r="10908" spans="9:10" x14ac:dyDescent="0.25">
      <c r="I10908" s="199"/>
      <c r="J10908" s="199"/>
    </row>
    <row r="10909" spans="9:10" x14ac:dyDescent="0.25">
      <c r="I10909" s="199"/>
      <c r="J10909" s="199"/>
    </row>
    <row r="10910" spans="9:10" x14ac:dyDescent="0.25">
      <c r="I10910" s="199"/>
      <c r="J10910" s="199"/>
    </row>
    <row r="10911" spans="9:10" x14ac:dyDescent="0.25">
      <c r="I10911" s="199"/>
      <c r="J10911" s="199"/>
    </row>
    <row r="10912" spans="9:10" x14ac:dyDescent="0.25">
      <c r="I10912" s="199"/>
      <c r="J10912" s="199"/>
    </row>
    <row r="10913" spans="9:10" x14ac:dyDescent="0.25">
      <c r="I10913" s="199"/>
      <c r="J10913" s="199"/>
    </row>
    <row r="10914" spans="9:10" x14ac:dyDescent="0.25">
      <c r="I10914" s="199"/>
      <c r="J10914" s="199"/>
    </row>
    <row r="10915" spans="9:10" x14ac:dyDescent="0.25">
      <c r="I10915" s="199"/>
      <c r="J10915" s="199"/>
    </row>
    <row r="10916" spans="9:10" x14ac:dyDescent="0.25">
      <c r="I10916" s="199"/>
      <c r="J10916" s="199"/>
    </row>
    <row r="10917" spans="9:10" x14ac:dyDescent="0.25">
      <c r="I10917" s="199"/>
      <c r="J10917" s="199"/>
    </row>
    <row r="10918" spans="9:10" x14ac:dyDescent="0.25">
      <c r="I10918" s="199"/>
      <c r="J10918" s="199"/>
    </row>
    <row r="10919" spans="9:10" x14ac:dyDescent="0.25">
      <c r="I10919" s="199"/>
      <c r="J10919" s="199"/>
    </row>
    <row r="10920" spans="9:10" x14ac:dyDescent="0.25">
      <c r="I10920" s="199"/>
      <c r="J10920" s="199"/>
    </row>
    <row r="10921" spans="9:10" x14ac:dyDescent="0.25">
      <c r="I10921" s="199"/>
      <c r="J10921" s="199"/>
    </row>
    <row r="10922" spans="9:10" x14ac:dyDescent="0.25">
      <c r="I10922" s="199"/>
      <c r="J10922" s="199"/>
    </row>
    <row r="10923" spans="9:10" x14ac:dyDescent="0.25">
      <c r="I10923" s="199"/>
      <c r="J10923" s="199"/>
    </row>
    <row r="10924" spans="9:10" x14ac:dyDescent="0.25">
      <c r="I10924" s="199"/>
      <c r="J10924" s="199"/>
    </row>
    <row r="10925" spans="9:10" x14ac:dyDescent="0.25">
      <c r="I10925" s="199"/>
      <c r="J10925" s="199"/>
    </row>
    <row r="10926" spans="9:10" x14ac:dyDescent="0.25">
      <c r="I10926" s="199"/>
      <c r="J10926" s="199"/>
    </row>
    <row r="10927" spans="9:10" x14ac:dyDescent="0.25">
      <c r="I10927" s="199"/>
      <c r="J10927" s="199"/>
    </row>
    <row r="10928" spans="9:10" x14ac:dyDescent="0.25">
      <c r="I10928" s="199"/>
      <c r="J10928" s="199"/>
    </row>
    <row r="10929" spans="9:10" x14ac:dyDescent="0.25">
      <c r="I10929" s="199"/>
      <c r="J10929" s="199"/>
    </row>
    <row r="10930" spans="9:10" x14ac:dyDescent="0.25">
      <c r="I10930" s="199"/>
      <c r="J10930" s="199"/>
    </row>
    <row r="10931" spans="9:10" x14ac:dyDescent="0.25">
      <c r="I10931" s="199"/>
      <c r="J10931" s="199"/>
    </row>
    <row r="10932" spans="9:10" x14ac:dyDescent="0.25">
      <c r="I10932" s="199"/>
      <c r="J10932" s="199"/>
    </row>
    <row r="10933" spans="9:10" x14ac:dyDescent="0.25">
      <c r="I10933" s="199"/>
      <c r="J10933" s="199"/>
    </row>
    <row r="10934" spans="9:10" x14ac:dyDescent="0.25">
      <c r="I10934" s="199"/>
      <c r="J10934" s="199"/>
    </row>
    <row r="10935" spans="9:10" x14ac:dyDescent="0.25">
      <c r="I10935" s="199"/>
      <c r="J10935" s="199"/>
    </row>
    <row r="10936" spans="9:10" x14ac:dyDescent="0.25">
      <c r="I10936" s="199"/>
      <c r="J10936" s="199"/>
    </row>
    <row r="10937" spans="9:10" x14ac:dyDescent="0.25">
      <c r="I10937" s="199"/>
      <c r="J10937" s="199"/>
    </row>
    <row r="10938" spans="9:10" x14ac:dyDescent="0.25">
      <c r="I10938" s="199"/>
      <c r="J10938" s="199"/>
    </row>
    <row r="10939" spans="9:10" x14ac:dyDescent="0.25">
      <c r="I10939" s="199"/>
      <c r="J10939" s="199"/>
    </row>
    <row r="10940" spans="9:10" x14ac:dyDescent="0.25">
      <c r="I10940" s="199"/>
      <c r="J10940" s="199"/>
    </row>
    <row r="10941" spans="9:10" x14ac:dyDescent="0.25">
      <c r="I10941" s="199"/>
      <c r="J10941" s="199"/>
    </row>
    <row r="10942" spans="9:10" x14ac:dyDescent="0.25">
      <c r="I10942" s="199"/>
      <c r="J10942" s="199"/>
    </row>
    <row r="10943" spans="9:10" x14ac:dyDescent="0.25">
      <c r="I10943" s="199"/>
      <c r="J10943" s="199"/>
    </row>
    <row r="10944" spans="9:10" x14ac:dyDescent="0.25">
      <c r="I10944" s="199"/>
      <c r="J10944" s="199"/>
    </row>
    <row r="10945" spans="9:10" x14ac:dyDescent="0.25">
      <c r="I10945" s="199"/>
      <c r="J10945" s="199"/>
    </row>
    <row r="10946" spans="9:10" x14ac:dyDescent="0.25">
      <c r="I10946" s="199"/>
      <c r="J10946" s="199"/>
    </row>
    <row r="10947" spans="9:10" x14ac:dyDescent="0.25">
      <c r="I10947" s="199"/>
      <c r="J10947" s="199"/>
    </row>
    <row r="10948" spans="9:10" x14ac:dyDescent="0.25">
      <c r="I10948" s="199"/>
      <c r="J10948" s="199"/>
    </row>
    <row r="10949" spans="9:10" x14ac:dyDescent="0.25">
      <c r="I10949" s="199"/>
      <c r="J10949" s="199"/>
    </row>
    <row r="10950" spans="9:10" x14ac:dyDescent="0.25">
      <c r="I10950" s="199"/>
      <c r="J10950" s="199"/>
    </row>
    <row r="10951" spans="9:10" x14ac:dyDescent="0.25">
      <c r="I10951" s="199"/>
      <c r="J10951" s="199"/>
    </row>
    <row r="10952" spans="9:10" x14ac:dyDescent="0.25">
      <c r="I10952" s="199"/>
      <c r="J10952" s="199"/>
    </row>
    <row r="10953" spans="9:10" x14ac:dyDescent="0.25">
      <c r="I10953" s="199"/>
      <c r="J10953" s="199"/>
    </row>
    <row r="10954" spans="9:10" x14ac:dyDescent="0.25">
      <c r="I10954" s="199"/>
      <c r="J10954" s="199"/>
    </row>
    <row r="10955" spans="9:10" x14ac:dyDescent="0.25">
      <c r="I10955" s="199"/>
      <c r="J10955" s="199"/>
    </row>
    <row r="10956" spans="9:10" x14ac:dyDescent="0.25">
      <c r="I10956" s="199"/>
      <c r="J10956" s="199"/>
    </row>
    <row r="10957" spans="9:10" x14ac:dyDescent="0.25">
      <c r="I10957" s="199"/>
      <c r="J10957" s="199"/>
    </row>
    <row r="10958" spans="9:10" x14ac:dyDescent="0.25">
      <c r="I10958" s="199"/>
      <c r="J10958" s="199"/>
    </row>
    <row r="10959" spans="9:10" x14ac:dyDescent="0.25">
      <c r="I10959" s="199"/>
      <c r="J10959" s="199"/>
    </row>
    <row r="10960" spans="9:10" x14ac:dyDescent="0.25">
      <c r="I10960" s="199"/>
      <c r="J10960" s="199"/>
    </row>
    <row r="10961" spans="9:10" x14ac:dyDescent="0.25">
      <c r="I10961" s="199"/>
      <c r="J10961" s="199"/>
    </row>
    <row r="10962" spans="9:10" x14ac:dyDescent="0.25">
      <c r="I10962" s="199"/>
      <c r="J10962" s="199"/>
    </row>
    <row r="10963" spans="9:10" x14ac:dyDescent="0.25">
      <c r="I10963" s="199"/>
      <c r="J10963" s="199"/>
    </row>
    <row r="10964" spans="9:10" x14ac:dyDescent="0.25">
      <c r="I10964" s="199"/>
      <c r="J10964" s="199"/>
    </row>
    <row r="10965" spans="9:10" x14ac:dyDescent="0.25">
      <c r="I10965" s="199"/>
      <c r="J10965" s="199"/>
    </row>
    <row r="10966" spans="9:10" x14ac:dyDescent="0.25">
      <c r="I10966" s="199"/>
      <c r="J10966" s="199"/>
    </row>
    <row r="10967" spans="9:10" x14ac:dyDescent="0.25">
      <c r="I10967" s="199"/>
      <c r="J10967" s="199"/>
    </row>
    <row r="10968" spans="9:10" x14ac:dyDescent="0.25">
      <c r="I10968" s="199"/>
      <c r="J10968" s="199"/>
    </row>
    <row r="10969" spans="9:10" x14ac:dyDescent="0.25">
      <c r="I10969" s="199"/>
      <c r="J10969" s="199"/>
    </row>
    <row r="10970" spans="9:10" x14ac:dyDescent="0.25">
      <c r="I10970" s="199"/>
      <c r="J10970" s="199"/>
    </row>
    <row r="10971" spans="9:10" x14ac:dyDescent="0.25">
      <c r="I10971" s="199"/>
      <c r="J10971" s="199"/>
    </row>
    <row r="10972" spans="9:10" x14ac:dyDescent="0.25">
      <c r="I10972" s="199"/>
      <c r="J10972" s="199"/>
    </row>
    <row r="10973" spans="9:10" x14ac:dyDescent="0.25">
      <c r="I10973" s="199"/>
      <c r="J10973" s="199"/>
    </row>
    <row r="10974" spans="9:10" x14ac:dyDescent="0.25">
      <c r="I10974" s="199"/>
      <c r="J10974" s="199"/>
    </row>
    <row r="10975" spans="9:10" x14ac:dyDescent="0.25">
      <c r="I10975" s="199"/>
      <c r="J10975" s="199"/>
    </row>
    <row r="10976" spans="9:10" x14ac:dyDescent="0.25">
      <c r="I10976" s="199"/>
      <c r="J10976" s="199"/>
    </row>
    <row r="10977" spans="9:10" x14ac:dyDescent="0.25">
      <c r="I10977" s="199"/>
      <c r="J10977" s="199"/>
    </row>
    <row r="10978" spans="9:10" x14ac:dyDescent="0.25">
      <c r="I10978" s="199"/>
      <c r="J10978" s="199"/>
    </row>
    <row r="10979" spans="9:10" x14ac:dyDescent="0.25">
      <c r="I10979" s="199"/>
      <c r="J10979" s="199"/>
    </row>
    <row r="10980" spans="9:10" x14ac:dyDescent="0.25">
      <c r="I10980" s="199"/>
      <c r="J10980" s="199"/>
    </row>
    <row r="10981" spans="9:10" x14ac:dyDescent="0.25">
      <c r="I10981" s="199"/>
      <c r="J10981" s="199"/>
    </row>
    <row r="10982" spans="9:10" x14ac:dyDescent="0.25">
      <c r="I10982" s="199"/>
      <c r="J10982" s="199"/>
    </row>
    <row r="10983" spans="9:10" x14ac:dyDescent="0.25">
      <c r="I10983" s="199"/>
      <c r="J10983" s="199"/>
    </row>
    <row r="10984" spans="9:10" x14ac:dyDescent="0.25">
      <c r="I10984" s="199"/>
      <c r="J10984" s="199"/>
    </row>
    <row r="10985" spans="9:10" x14ac:dyDescent="0.25">
      <c r="I10985" s="199"/>
      <c r="J10985" s="199"/>
    </row>
    <row r="10986" spans="9:10" x14ac:dyDescent="0.25">
      <c r="I10986" s="199"/>
      <c r="J10986" s="199"/>
    </row>
    <row r="10987" spans="9:10" x14ac:dyDescent="0.25">
      <c r="I10987" s="199"/>
      <c r="J10987" s="199"/>
    </row>
    <row r="10988" spans="9:10" x14ac:dyDescent="0.25">
      <c r="I10988" s="199"/>
      <c r="J10988" s="199"/>
    </row>
    <row r="10989" spans="9:10" x14ac:dyDescent="0.25">
      <c r="I10989" s="199"/>
      <c r="J10989" s="199"/>
    </row>
    <row r="10990" spans="9:10" x14ac:dyDescent="0.25">
      <c r="I10990" s="199"/>
      <c r="J10990" s="199"/>
    </row>
    <row r="10991" spans="9:10" x14ac:dyDescent="0.25">
      <c r="I10991" s="199"/>
      <c r="J10991" s="199"/>
    </row>
    <row r="10992" spans="9:10" x14ac:dyDescent="0.25">
      <c r="I10992" s="199"/>
      <c r="J10992" s="199"/>
    </row>
    <row r="10993" spans="9:10" x14ac:dyDescent="0.25">
      <c r="I10993" s="199"/>
      <c r="J10993" s="199"/>
    </row>
    <row r="10994" spans="9:10" x14ac:dyDescent="0.25">
      <c r="I10994" s="199"/>
      <c r="J10994" s="199"/>
    </row>
    <row r="10995" spans="9:10" x14ac:dyDescent="0.25">
      <c r="I10995" s="199"/>
      <c r="J10995" s="199"/>
    </row>
    <row r="10996" spans="9:10" x14ac:dyDescent="0.25">
      <c r="I10996" s="199"/>
      <c r="J10996" s="199"/>
    </row>
    <row r="10997" spans="9:10" x14ac:dyDescent="0.25">
      <c r="I10997" s="199"/>
      <c r="J10997" s="199"/>
    </row>
    <row r="10998" spans="9:10" x14ac:dyDescent="0.25">
      <c r="I10998" s="199"/>
      <c r="J10998" s="199"/>
    </row>
    <row r="10999" spans="9:10" x14ac:dyDescent="0.25">
      <c r="I10999" s="199"/>
      <c r="J10999" s="199"/>
    </row>
    <row r="11000" spans="9:10" x14ac:dyDescent="0.25">
      <c r="I11000" s="199"/>
      <c r="J11000" s="199"/>
    </row>
    <row r="11001" spans="9:10" x14ac:dyDescent="0.25">
      <c r="I11001" s="199"/>
      <c r="J11001" s="199"/>
    </row>
    <row r="11002" spans="9:10" x14ac:dyDescent="0.25">
      <c r="I11002" s="199"/>
      <c r="J11002" s="199"/>
    </row>
    <row r="11003" spans="9:10" x14ac:dyDescent="0.25">
      <c r="I11003" s="199"/>
      <c r="J11003" s="199"/>
    </row>
    <row r="11004" spans="9:10" x14ac:dyDescent="0.25">
      <c r="I11004" s="199"/>
      <c r="J11004" s="199"/>
    </row>
    <row r="11005" spans="9:10" x14ac:dyDescent="0.25">
      <c r="I11005" s="199"/>
      <c r="J11005" s="199"/>
    </row>
    <row r="11006" spans="9:10" x14ac:dyDescent="0.25">
      <c r="I11006" s="199"/>
      <c r="J11006" s="199"/>
    </row>
    <row r="11007" spans="9:10" x14ac:dyDescent="0.25">
      <c r="I11007" s="199"/>
      <c r="J11007" s="199"/>
    </row>
    <row r="11008" spans="9:10" x14ac:dyDescent="0.25">
      <c r="I11008" s="199"/>
      <c r="J11008" s="199"/>
    </row>
    <row r="11009" spans="9:10" x14ac:dyDescent="0.25">
      <c r="I11009" s="199"/>
      <c r="J11009" s="199"/>
    </row>
    <row r="11010" spans="9:10" x14ac:dyDescent="0.25">
      <c r="I11010" s="199"/>
      <c r="J11010" s="199"/>
    </row>
    <row r="11011" spans="9:10" x14ac:dyDescent="0.25">
      <c r="I11011" s="199"/>
      <c r="J11011" s="199"/>
    </row>
    <row r="11012" spans="9:10" x14ac:dyDescent="0.25">
      <c r="I11012" s="199"/>
      <c r="J11012" s="199"/>
    </row>
    <row r="11013" spans="9:10" x14ac:dyDescent="0.25">
      <c r="I11013" s="199"/>
      <c r="J11013" s="199"/>
    </row>
    <row r="11014" spans="9:10" x14ac:dyDescent="0.25">
      <c r="I11014" s="199"/>
      <c r="J11014" s="199"/>
    </row>
    <row r="11015" spans="9:10" x14ac:dyDescent="0.25">
      <c r="I11015" s="199"/>
      <c r="J11015" s="199"/>
    </row>
    <row r="11016" spans="9:10" x14ac:dyDescent="0.25">
      <c r="I11016" s="199"/>
      <c r="J11016" s="199"/>
    </row>
    <row r="11017" spans="9:10" x14ac:dyDescent="0.25">
      <c r="I11017" s="199"/>
      <c r="J11017" s="199"/>
    </row>
    <row r="11018" spans="9:10" x14ac:dyDescent="0.25">
      <c r="I11018" s="199"/>
      <c r="J11018" s="199"/>
    </row>
    <row r="11019" spans="9:10" x14ac:dyDescent="0.25">
      <c r="I11019" s="199"/>
      <c r="J11019" s="199"/>
    </row>
    <row r="11020" spans="9:10" x14ac:dyDescent="0.25">
      <c r="I11020" s="199"/>
      <c r="J11020" s="199"/>
    </row>
    <row r="11021" spans="9:10" x14ac:dyDescent="0.25">
      <c r="I11021" s="199"/>
      <c r="J11021" s="199"/>
    </row>
    <row r="11022" spans="9:10" x14ac:dyDescent="0.25">
      <c r="I11022" s="199"/>
      <c r="J11022" s="199"/>
    </row>
    <row r="11023" spans="9:10" x14ac:dyDescent="0.25">
      <c r="I11023" s="199"/>
      <c r="J11023" s="199"/>
    </row>
    <row r="11024" spans="9:10" x14ac:dyDescent="0.25">
      <c r="I11024" s="199"/>
      <c r="J11024" s="199"/>
    </row>
    <row r="11025" spans="9:10" x14ac:dyDescent="0.25">
      <c r="I11025" s="199"/>
      <c r="J11025" s="199"/>
    </row>
    <row r="11026" spans="9:10" x14ac:dyDescent="0.25">
      <c r="I11026" s="199"/>
      <c r="J11026" s="199"/>
    </row>
    <row r="11027" spans="9:10" x14ac:dyDescent="0.25">
      <c r="I11027" s="199"/>
      <c r="J11027" s="199"/>
    </row>
    <row r="11028" spans="9:10" x14ac:dyDescent="0.25">
      <c r="I11028" s="199"/>
      <c r="J11028" s="199"/>
    </row>
    <row r="11029" spans="9:10" x14ac:dyDescent="0.25">
      <c r="I11029" s="199"/>
      <c r="J11029" s="199"/>
    </row>
    <row r="11030" spans="9:10" x14ac:dyDescent="0.25">
      <c r="I11030" s="199"/>
      <c r="J11030" s="199"/>
    </row>
    <row r="11031" spans="9:10" x14ac:dyDescent="0.25">
      <c r="I11031" s="199"/>
      <c r="J11031" s="199"/>
    </row>
    <row r="11032" spans="9:10" x14ac:dyDescent="0.25">
      <c r="I11032" s="199"/>
      <c r="J11032" s="199"/>
    </row>
    <row r="11033" spans="9:10" x14ac:dyDescent="0.25">
      <c r="I11033" s="199"/>
      <c r="J11033" s="199"/>
    </row>
    <row r="11034" spans="9:10" x14ac:dyDescent="0.25">
      <c r="I11034" s="199"/>
      <c r="J11034" s="199"/>
    </row>
    <row r="11035" spans="9:10" x14ac:dyDescent="0.25">
      <c r="I11035" s="199"/>
      <c r="J11035" s="199"/>
    </row>
    <row r="11036" spans="9:10" x14ac:dyDescent="0.25">
      <c r="I11036" s="199"/>
      <c r="J11036" s="199"/>
    </row>
    <row r="11037" spans="9:10" x14ac:dyDescent="0.25">
      <c r="I11037" s="199"/>
      <c r="J11037" s="199"/>
    </row>
    <row r="11038" spans="9:10" x14ac:dyDescent="0.25">
      <c r="I11038" s="199"/>
      <c r="J11038" s="199"/>
    </row>
    <row r="11039" spans="9:10" x14ac:dyDescent="0.25">
      <c r="I11039" s="199"/>
      <c r="J11039" s="199"/>
    </row>
    <row r="11040" spans="9:10" x14ac:dyDescent="0.25">
      <c r="I11040" s="199"/>
      <c r="J11040" s="199"/>
    </row>
    <row r="11041" spans="9:10" x14ac:dyDescent="0.25">
      <c r="I11041" s="199"/>
      <c r="J11041" s="199"/>
    </row>
    <row r="11042" spans="9:10" x14ac:dyDescent="0.25">
      <c r="I11042" s="199"/>
      <c r="J11042" s="199"/>
    </row>
    <row r="11043" spans="9:10" x14ac:dyDescent="0.25">
      <c r="I11043" s="199"/>
      <c r="J11043" s="199"/>
    </row>
    <row r="11044" spans="9:10" x14ac:dyDescent="0.25">
      <c r="I11044" s="199"/>
      <c r="J11044" s="199"/>
    </row>
    <row r="11045" spans="9:10" x14ac:dyDescent="0.25">
      <c r="I11045" s="199"/>
      <c r="J11045" s="199"/>
    </row>
    <row r="11046" spans="9:10" x14ac:dyDescent="0.25">
      <c r="I11046" s="199"/>
      <c r="J11046" s="199"/>
    </row>
    <row r="11047" spans="9:10" x14ac:dyDescent="0.25">
      <c r="I11047" s="199"/>
      <c r="J11047" s="199"/>
    </row>
    <row r="11048" spans="9:10" x14ac:dyDescent="0.25">
      <c r="I11048" s="199"/>
      <c r="J11048" s="199"/>
    </row>
    <row r="11049" spans="9:10" x14ac:dyDescent="0.25">
      <c r="I11049" s="199"/>
      <c r="J11049" s="199"/>
    </row>
    <row r="11050" spans="9:10" x14ac:dyDescent="0.25">
      <c r="I11050" s="199"/>
      <c r="J11050" s="199"/>
    </row>
    <row r="11051" spans="9:10" x14ac:dyDescent="0.25">
      <c r="I11051" s="199"/>
      <c r="J11051" s="199"/>
    </row>
    <row r="11052" spans="9:10" x14ac:dyDescent="0.25">
      <c r="I11052" s="199"/>
      <c r="J11052" s="199"/>
    </row>
    <row r="11053" spans="9:10" x14ac:dyDescent="0.25">
      <c r="I11053" s="199"/>
      <c r="J11053" s="199"/>
    </row>
    <row r="11054" spans="9:10" x14ac:dyDescent="0.25">
      <c r="I11054" s="199"/>
      <c r="J11054" s="199"/>
    </row>
    <row r="11055" spans="9:10" x14ac:dyDescent="0.25">
      <c r="I11055" s="199"/>
      <c r="J11055" s="199"/>
    </row>
    <row r="11056" spans="9:10" x14ac:dyDescent="0.25">
      <c r="I11056" s="199"/>
      <c r="J11056" s="199"/>
    </row>
    <row r="11057" spans="9:10" x14ac:dyDescent="0.25">
      <c r="I11057" s="199"/>
      <c r="J11057" s="199"/>
    </row>
    <row r="11058" spans="9:10" x14ac:dyDescent="0.25">
      <c r="I11058" s="199"/>
      <c r="J11058" s="199"/>
    </row>
    <row r="11059" spans="9:10" x14ac:dyDescent="0.25">
      <c r="I11059" s="199"/>
      <c r="J11059" s="199"/>
    </row>
    <row r="11060" spans="9:10" x14ac:dyDescent="0.25">
      <c r="I11060" s="199"/>
      <c r="J11060" s="199"/>
    </row>
    <row r="11061" spans="9:10" x14ac:dyDescent="0.25">
      <c r="I11061" s="199"/>
      <c r="J11061" s="199"/>
    </row>
    <row r="11062" spans="9:10" x14ac:dyDescent="0.25">
      <c r="I11062" s="199"/>
      <c r="J11062" s="199"/>
    </row>
    <row r="11063" spans="9:10" x14ac:dyDescent="0.25">
      <c r="I11063" s="199"/>
      <c r="J11063" s="199"/>
    </row>
    <row r="11064" spans="9:10" x14ac:dyDescent="0.25">
      <c r="I11064" s="199"/>
      <c r="J11064" s="199"/>
    </row>
    <row r="11065" spans="9:10" x14ac:dyDescent="0.25">
      <c r="I11065" s="199"/>
      <c r="J11065" s="199"/>
    </row>
    <row r="11066" spans="9:10" x14ac:dyDescent="0.25">
      <c r="I11066" s="199"/>
      <c r="J11066" s="199"/>
    </row>
    <row r="11067" spans="9:10" x14ac:dyDescent="0.25">
      <c r="I11067" s="199"/>
      <c r="J11067" s="199"/>
    </row>
    <row r="11068" spans="9:10" x14ac:dyDescent="0.25">
      <c r="I11068" s="199"/>
      <c r="J11068" s="199"/>
    </row>
    <row r="11069" spans="9:10" x14ac:dyDescent="0.25">
      <c r="I11069" s="199"/>
      <c r="J11069" s="199"/>
    </row>
    <row r="11070" spans="9:10" x14ac:dyDescent="0.25">
      <c r="I11070" s="199"/>
      <c r="J11070" s="199"/>
    </row>
    <row r="11071" spans="9:10" x14ac:dyDescent="0.25">
      <c r="I11071" s="199"/>
      <c r="J11071" s="199"/>
    </row>
    <row r="11072" spans="9:10" x14ac:dyDescent="0.25">
      <c r="I11072" s="199"/>
      <c r="J11072" s="199"/>
    </row>
    <row r="11073" spans="9:10" x14ac:dyDescent="0.25">
      <c r="I11073" s="199"/>
      <c r="J11073" s="199"/>
    </row>
    <row r="11074" spans="9:10" x14ac:dyDescent="0.25">
      <c r="I11074" s="199"/>
      <c r="J11074" s="199"/>
    </row>
    <row r="11075" spans="9:10" x14ac:dyDescent="0.25">
      <c r="I11075" s="199"/>
      <c r="J11075" s="199"/>
    </row>
    <row r="11076" spans="9:10" x14ac:dyDescent="0.25">
      <c r="I11076" s="199"/>
      <c r="J11076" s="199"/>
    </row>
    <row r="11077" spans="9:10" x14ac:dyDescent="0.25">
      <c r="I11077" s="199"/>
      <c r="J11077" s="199"/>
    </row>
    <row r="11078" spans="9:10" x14ac:dyDescent="0.25">
      <c r="I11078" s="199"/>
      <c r="J11078" s="199"/>
    </row>
    <row r="11079" spans="9:10" x14ac:dyDescent="0.25">
      <c r="I11079" s="199"/>
      <c r="J11079" s="199"/>
    </row>
    <row r="11080" spans="9:10" x14ac:dyDescent="0.25">
      <c r="I11080" s="199"/>
      <c r="J11080" s="199"/>
    </row>
    <row r="11081" spans="9:10" x14ac:dyDescent="0.25">
      <c r="I11081" s="199"/>
      <c r="J11081" s="199"/>
    </row>
    <row r="11082" spans="9:10" x14ac:dyDescent="0.25">
      <c r="I11082" s="199"/>
      <c r="J11082" s="199"/>
    </row>
    <row r="11083" spans="9:10" x14ac:dyDescent="0.25">
      <c r="I11083" s="199"/>
      <c r="J11083" s="199"/>
    </row>
    <row r="11084" spans="9:10" x14ac:dyDescent="0.25">
      <c r="I11084" s="199"/>
      <c r="J11084" s="199"/>
    </row>
    <row r="11085" spans="9:10" x14ac:dyDescent="0.25">
      <c r="I11085" s="199"/>
      <c r="J11085" s="199"/>
    </row>
    <row r="11086" spans="9:10" x14ac:dyDescent="0.25">
      <c r="I11086" s="199"/>
      <c r="J11086" s="199"/>
    </row>
    <row r="11087" spans="9:10" x14ac:dyDescent="0.25">
      <c r="I11087" s="199"/>
      <c r="J11087" s="199"/>
    </row>
    <row r="11088" spans="9:10" x14ac:dyDescent="0.25">
      <c r="I11088" s="199"/>
      <c r="J11088" s="199"/>
    </row>
    <row r="11089" spans="9:10" x14ac:dyDescent="0.25">
      <c r="I11089" s="199"/>
      <c r="J11089" s="199"/>
    </row>
    <row r="11090" spans="9:10" x14ac:dyDescent="0.25">
      <c r="I11090" s="199"/>
      <c r="J11090" s="199"/>
    </row>
    <row r="11091" spans="9:10" x14ac:dyDescent="0.25">
      <c r="I11091" s="199"/>
      <c r="J11091" s="199"/>
    </row>
    <row r="11092" spans="9:10" x14ac:dyDescent="0.25">
      <c r="I11092" s="199"/>
      <c r="J11092" s="199"/>
    </row>
    <row r="11093" spans="9:10" x14ac:dyDescent="0.25">
      <c r="I11093" s="199"/>
      <c r="J11093" s="199"/>
    </row>
    <row r="11094" spans="9:10" x14ac:dyDescent="0.25">
      <c r="I11094" s="199"/>
      <c r="J11094" s="199"/>
    </row>
    <row r="11095" spans="9:10" x14ac:dyDescent="0.25">
      <c r="I11095" s="199"/>
      <c r="J11095" s="199"/>
    </row>
    <row r="11096" spans="9:10" x14ac:dyDescent="0.25">
      <c r="I11096" s="199"/>
      <c r="J11096" s="199"/>
    </row>
    <row r="11097" spans="9:10" x14ac:dyDescent="0.25">
      <c r="I11097" s="199"/>
      <c r="J11097" s="199"/>
    </row>
    <row r="11098" spans="9:10" x14ac:dyDescent="0.25">
      <c r="I11098" s="199"/>
      <c r="J11098" s="199"/>
    </row>
    <row r="11099" spans="9:10" x14ac:dyDescent="0.25">
      <c r="I11099" s="199"/>
      <c r="J11099" s="199"/>
    </row>
    <row r="11100" spans="9:10" x14ac:dyDescent="0.25">
      <c r="I11100" s="199"/>
      <c r="J11100" s="199"/>
    </row>
    <row r="11101" spans="9:10" x14ac:dyDescent="0.25">
      <c r="I11101" s="199"/>
      <c r="J11101" s="199"/>
    </row>
    <row r="11102" spans="9:10" x14ac:dyDescent="0.25">
      <c r="I11102" s="199"/>
      <c r="J11102" s="199"/>
    </row>
    <row r="11103" spans="9:10" x14ac:dyDescent="0.25">
      <c r="I11103" s="199"/>
      <c r="J11103" s="199"/>
    </row>
    <row r="11104" spans="9:10" x14ac:dyDescent="0.25">
      <c r="I11104" s="199"/>
      <c r="J11104" s="199"/>
    </row>
    <row r="11105" spans="9:10" x14ac:dyDescent="0.25">
      <c r="I11105" s="199"/>
      <c r="J11105" s="199"/>
    </row>
    <row r="11106" spans="9:10" x14ac:dyDescent="0.25">
      <c r="I11106" s="199"/>
      <c r="J11106" s="199"/>
    </row>
    <row r="11107" spans="9:10" x14ac:dyDescent="0.25">
      <c r="I11107" s="199"/>
      <c r="J11107" s="199"/>
    </row>
    <row r="11108" spans="9:10" x14ac:dyDescent="0.25">
      <c r="I11108" s="199"/>
      <c r="J11108" s="199"/>
    </row>
    <row r="11109" spans="9:10" x14ac:dyDescent="0.25">
      <c r="I11109" s="199"/>
      <c r="J11109" s="199"/>
    </row>
    <row r="11110" spans="9:10" x14ac:dyDescent="0.25">
      <c r="I11110" s="199"/>
      <c r="J11110" s="199"/>
    </row>
    <row r="11111" spans="9:10" x14ac:dyDescent="0.25">
      <c r="I11111" s="199"/>
      <c r="J11111" s="199"/>
    </row>
    <row r="11112" spans="9:10" x14ac:dyDescent="0.25">
      <c r="I11112" s="199"/>
      <c r="J11112" s="199"/>
    </row>
    <row r="11113" spans="9:10" x14ac:dyDescent="0.25">
      <c r="I11113" s="199"/>
      <c r="J11113" s="199"/>
    </row>
    <row r="11114" spans="9:10" x14ac:dyDescent="0.25">
      <c r="I11114" s="199"/>
      <c r="J11114" s="199"/>
    </row>
    <row r="11115" spans="9:10" x14ac:dyDescent="0.25">
      <c r="I11115" s="199"/>
      <c r="J11115" s="199"/>
    </row>
    <row r="11116" spans="9:10" x14ac:dyDescent="0.25">
      <c r="I11116" s="199"/>
      <c r="J11116" s="199"/>
    </row>
    <row r="11117" spans="9:10" x14ac:dyDescent="0.25">
      <c r="I11117" s="199"/>
      <c r="J11117" s="199"/>
    </row>
    <row r="11118" spans="9:10" x14ac:dyDescent="0.25">
      <c r="I11118" s="199"/>
      <c r="J11118" s="199"/>
    </row>
    <row r="11119" spans="9:10" x14ac:dyDescent="0.25">
      <c r="I11119" s="199"/>
      <c r="J11119" s="199"/>
    </row>
    <row r="11120" spans="9:10" x14ac:dyDescent="0.25">
      <c r="I11120" s="199"/>
      <c r="J11120" s="199"/>
    </row>
    <row r="11121" spans="9:10" x14ac:dyDescent="0.25">
      <c r="I11121" s="199"/>
      <c r="J11121" s="199"/>
    </row>
    <row r="11122" spans="9:10" x14ac:dyDescent="0.25">
      <c r="I11122" s="199"/>
      <c r="J11122" s="199"/>
    </row>
    <row r="11123" spans="9:10" x14ac:dyDescent="0.25">
      <c r="I11123" s="199"/>
      <c r="J11123" s="199"/>
    </row>
    <row r="11124" spans="9:10" x14ac:dyDescent="0.25">
      <c r="I11124" s="199"/>
      <c r="J11124" s="199"/>
    </row>
    <row r="11125" spans="9:10" x14ac:dyDescent="0.25">
      <c r="I11125" s="199"/>
      <c r="J11125" s="199"/>
    </row>
    <row r="11126" spans="9:10" x14ac:dyDescent="0.25">
      <c r="I11126" s="199"/>
      <c r="J11126" s="199"/>
    </row>
    <row r="11127" spans="9:10" x14ac:dyDescent="0.25">
      <c r="I11127" s="199"/>
      <c r="J11127" s="199"/>
    </row>
    <row r="11128" spans="9:10" x14ac:dyDescent="0.25">
      <c r="I11128" s="199"/>
      <c r="J11128" s="199"/>
    </row>
    <row r="11129" spans="9:10" x14ac:dyDescent="0.25">
      <c r="I11129" s="199"/>
      <c r="J11129" s="199"/>
    </row>
    <row r="11130" spans="9:10" x14ac:dyDescent="0.25">
      <c r="I11130" s="199"/>
      <c r="J11130" s="199"/>
    </row>
    <row r="11131" spans="9:10" x14ac:dyDescent="0.25">
      <c r="I11131" s="199"/>
      <c r="J11131" s="199"/>
    </row>
    <row r="11132" spans="9:10" x14ac:dyDescent="0.25">
      <c r="I11132" s="199"/>
      <c r="J11132" s="199"/>
    </row>
    <row r="11133" spans="9:10" x14ac:dyDescent="0.25">
      <c r="I11133" s="199"/>
      <c r="J11133" s="199"/>
    </row>
    <row r="11134" spans="9:10" x14ac:dyDescent="0.25">
      <c r="I11134" s="199"/>
      <c r="J11134" s="199"/>
    </row>
    <row r="11135" spans="9:10" x14ac:dyDescent="0.25">
      <c r="I11135" s="199"/>
      <c r="J11135" s="199"/>
    </row>
    <row r="11136" spans="9:10" x14ac:dyDescent="0.25">
      <c r="I11136" s="199"/>
      <c r="J11136" s="199"/>
    </row>
    <row r="11137" spans="9:10" x14ac:dyDescent="0.25">
      <c r="I11137" s="199"/>
      <c r="J11137" s="199"/>
    </row>
    <row r="11138" spans="9:10" x14ac:dyDescent="0.25">
      <c r="I11138" s="199"/>
      <c r="J11138" s="199"/>
    </row>
    <row r="11139" spans="9:10" x14ac:dyDescent="0.25">
      <c r="I11139" s="199"/>
      <c r="J11139" s="199"/>
    </row>
    <row r="11140" spans="9:10" x14ac:dyDescent="0.25">
      <c r="I11140" s="199"/>
      <c r="J11140" s="199"/>
    </row>
    <row r="11141" spans="9:10" x14ac:dyDescent="0.25">
      <c r="I11141" s="199"/>
      <c r="J11141" s="199"/>
    </row>
    <row r="11142" spans="9:10" x14ac:dyDescent="0.25">
      <c r="I11142" s="199"/>
      <c r="J11142" s="199"/>
    </row>
    <row r="11143" spans="9:10" x14ac:dyDescent="0.25">
      <c r="I11143" s="199"/>
      <c r="J11143" s="199"/>
    </row>
    <row r="11144" spans="9:10" x14ac:dyDescent="0.25">
      <c r="I11144" s="199"/>
      <c r="J11144" s="199"/>
    </row>
    <row r="11145" spans="9:10" x14ac:dyDescent="0.25">
      <c r="I11145" s="199"/>
      <c r="J11145" s="199"/>
    </row>
    <row r="11146" spans="9:10" x14ac:dyDescent="0.25">
      <c r="I11146" s="199"/>
      <c r="J11146" s="199"/>
    </row>
    <row r="11147" spans="9:10" x14ac:dyDescent="0.25">
      <c r="I11147" s="199"/>
      <c r="J11147" s="199"/>
    </row>
    <row r="11148" spans="9:10" x14ac:dyDescent="0.25">
      <c r="I11148" s="199"/>
      <c r="J11148" s="199"/>
    </row>
    <row r="11149" spans="9:10" x14ac:dyDescent="0.25">
      <c r="I11149" s="199"/>
      <c r="J11149" s="199"/>
    </row>
    <row r="11150" spans="9:10" x14ac:dyDescent="0.25">
      <c r="I11150" s="199"/>
      <c r="J11150" s="199"/>
    </row>
    <row r="11151" spans="9:10" x14ac:dyDescent="0.25">
      <c r="I11151" s="199"/>
      <c r="J11151" s="199"/>
    </row>
    <row r="11152" spans="9:10" x14ac:dyDescent="0.25">
      <c r="I11152" s="199"/>
      <c r="J11152" s="199"/>
    </row>
    <row r="11153" spans="9:10" x14ac:dyDescent="0.25">
      <c r="I11153" s="199"/>
      <c r="J11153" s="199"/>
    </row>
    <row r="11154" spans="9:10" x14ac:dyDescent="0.25">
      <c r="I11154" s="199"/>
      <c r="J11154" s="199"/>
    </row>
    <row r="11155" spans="9:10" x14ac:dyDescent="0.25">
      <c r="I11155" s="199"/>
      <c r="J11155" s="199"/>
    </row>
    <row r="11156" spans="9:10" x14ac:dyDescent="0.25">
      <c r="I11156" s="199"/>
      <c r="J11156" s="199"/>
    </row>
    <row r="11157" spans="9:10" x14ac:dyDescent="0.25">
      <c r="I11157" s="199"/>
      <c r="J11157" s="199"/>
    </row>
    <row r="11158" spans="9:10" x14ac:dyDescent="0.25">
      <c r="I11158" s="199"/>
      <c r="J11158" s="199"/>
    </row>
    <row r="11159" spans="9:10" x14ac:dyDescent="0.25">
      <c r="I11159" s="199"/>
      <c r="J11159" s="199"/>
    </row>
    <row r="11160" spans="9:10" x14ac:dyDescent="0.25">
      <c r="I11160" s="199"/>
      <c r="J11160" s="199"/>
    </row>
    <row r="11161" spans="9:10" x14ac:dyDescent="0.25">
      <c r="I11161" s="199"/>
      <c r="J11161" s="199"/>
    </row>
    <row r="11162" spans="9:10" x14ac:dyDescent="0.25">
      <c r="I11162" s="199"/>
      <c r="J11162" s="199"/>
    </row>
    <row r="11163" spans="9:10" x14ac:dyDescent="0.25">
      <c r="I11163" s="199"/>
      <c r="J11163" s="199"/>
    </row>
    <row r="11164" spans="9:10" x14ac:dyDescent="0.25">
      <c r="I11164" s="199"/>
      <c r="J11164" s="199"/>
    </row>
    <row r="11165" spans="9:10" x14ac:dyDescent="0.25">
      <c r="I11165" s="199"/>
      <c r="J11165" s="199"/>
    </row>
    <row r="11166" spans="9:10" x14ac:dyDescent="0.25">
      <c r="I11166" s="199"/>
      <c r="J11166" s="199"/>
    </row>
    <row r="11167" spans="9:10" x14ac:dyDescent="0.25">
      <c r="I11167" s="199"/>
      <c r="J11167" s="199"/>
    </row>
    <row r="11168" spans="9:10" x14ac:dyDescent="0.25">
      <c r="I11168" s="199"/>
      <c r="J11168" s="199"/>
    </row>
    <row r="11169" spans="9:10" x14ac:dyDescent="0.25">
      <c r="I11169" s="199"/>
      <c r="J11169" s="199"/>
    </row>
    <row r="11170" spans="9:10" x14ac:dyDescent="0.25">
      <c r="I11170" s="199"/>
      <c r="J11170" s="199"/>
    </row>
    <row r="11171" spans="9:10" x14ac:dyDescent="0.25">
      <c r="I11171" s="199"/>
      <c r="J11171" s="199"/>
    </row>
    <row r="11172" spans="9:10" x14ac:dyDescent="0.25">
      <c r="I11172" s="199"/>
      <c r="J11172" s="199"/>
    </row>
    <row r="11173" spans="9:10" x14ac:dyDescent="0.25">
      <c r="I11173" s="199"/>
      <c r="J11173" s="199"/>
    </row>
    <row r="11174" spans="9:10" x14ac:dyDescent="0.25">
      <c r="I11174" s="199"/>
      <c r="J11174" s="199"/>
    </row>
    <row r="11175" spans="9:10" x14ac:dyDescent="0.25">
      <c r="I11175" s="199"/>
      <c r="J11175" s="199"/>
    </row>
    <row r="11176" spans="9:10" x14ac:dyDescent="0.25">
      <c r="I11176" s="199"/>
      <c r="J11176" s="199"/>
    </row>
    <row r="11177" spans="9:10" x14ac:dyDescent="0.25">
      <c r="I11177" s="199"/>
      <c r="J11177" s="199"/>
    </row>
    <row r="11178" spans="9:10" x14ac:dyDescent="0.25">
      <c r="I11178" s="199"/>
      <c r="J11178" s="199"/>
    </row>
    <row r="11179" spans="9:10" x14ac:dyDescent="0.25">
      <c r="I11179" s="199"/>
      <c r="J11179" s="199"/>
    </row>
    <row r="11180" spans="9:10" x14ac:dyDescent="0.25">
      <c r="I11180" s="199"/>
      <c r="J11180" s="199"/>
    </row>
    <row r="11181" spans="9:10" x14ac:dyDescent="0.25">
      <c r="I11181" s="199"/>
      <c r="J11181" s="199"/>
    </row>
    <row r="11182" spans="9:10" x14ac:dyDescent="0.25">
      <c r="I11182" s="199"/>
      <c r="J11182" s="199"/>
    </row>
    <row r="11183" spans="9:10" x14ac:dyDescent="0.25">
      <c r="I11183" s="199"/>
      <c r="J11183" s="199"/>
    </row>
    <row r="11184" spans="9:10" x14ac:dyDescent="0.25">
      <c r="I11184" s="199"/>
      <c r="J11184" s="199"/>
    </row>
    <row r="11185" spans="9:10" x14ac:dyDescent="0.25">
      <c r="I11185" s="199"/>
      <c r="J11185" s="199"/>
    </row>
    <row r="11186" spans="9:10" x14ac:dyDescent="0.25">
      <c r="I11186" s="199"/>
      <c r="J11186" s="199"/>
    </row>
    <row r="11187" spans="9:10" x14ac:dyDescent="0.25">
      <c r="I11187" s="199"/>
      <c r="J11187" s="199"/>
    </row>
    <row r="11188" spans="9:10" x14ac:dyDescent="0.25">
      <c r="I11188" s="199"/>
      <c r="J11188" s="199"/>
    </row>
    <row r="11189" spans="9:10" x14ac:dyDescent="0.25">
      <c r="I11189" s="199"/>
      <c r="J11189" s="199"/>
    </row>
    <row r="11190" spans="9:10" x14ac:dyDescent="0.25">
      <c r="I11190" s="199"/>
      <c r="J11190" s="199"/>
    </row>
    <row r="11191" spans="9:10" x14ac:dyDescent="0.25">
      <c r="I11191" s="199"/>
      <c r="J11191" s="199"/>
    </row>
    <row r="11192" spans="9:10" x14ac:dyDescent="0.25">
      <c r="I11192" s="199"/>
      <c r="J11192" s="199"/>
    </row>
    <row r="11193" spans="9:10" x14ac:dyDescent="0.25">
      <c r="I11193" s="199"/>
      <c r="J11193" s="199"/>
    </row>
    <row r="11194" spans="9:10" x14ac:dyDescent="0.25">
      <c r="I11194" s="199"/>
      <c r="J11194" s="199"/>
    </row>
    <row r="11195" spans="9:10" x14ac:dyDescent="0.25">
      <c r="I11195" s="199"/>
      <c r="J11195" s="199"/>
    </row>
    <row r="11196" spans="9:10" x14ac:dyDescent="0.25">
      <c r="I11196" s="199"/>
      <c r="J11196" s="199"/>
    </row>
    <row r="11197" spans="9:10" x14ac:dyDescent="0.25">
      <c r="I11197" s="199"/>
      <c r="J11197" s="199"/>
    </row>
    <row r="11198" spans="9:10" x14ac:dyDescent="0.25">
      <c r="I11198" s="199"/>
      <c r="J11198" s="199"/>
    </row>
    <row r="11199" spans="9:10" x14ac:dyDescent="0.25">
      <c r="I11199" s="199"/>
      <c r="J11199" s="199"/>
    </row>
    <row r="11200" spans="9:10" x14ac:dyDescent="0.25">
      <c r="I11200" s="199"/>
      <c r="J11200" s="199"/>
    </row>
    <row r="11201" spans="9:10" x14ac:dyDescent="0.25">
      <c r="I11201" s="199"/>
      <c r="J11201" s="199"/>
    </row>
    <row r="11202" spans="9:10" x14ac:dyDescent="0.25">
      <c r="I11202" s="199"/>
      <c r="J11202" s="199"/>
    </row>
    <row r="11203" spans="9:10" x14ac:dyDescent="0.25">
      <c r="I11203" s="199"/>
      <c r="J11203" s="199"/>
    </row>
    <row r="11204" spans="9:10" x14ac:dyDescent="0.25">
      <c r="I11204" s="199"/>
      <c r="J11204" s="199"/>
    </row>
    <row r="11205" spans="9:10" x14ac:dyDescent="0.25">
      <c r="I11205" s="199"/>
      <c r="J11205" s="199"/>
    </row>
    <row r="11206" spans="9:10" x14ac:dyDescent="0.25">
      <c r="I11206" s="199"/>
      <c r="J11206" s="199"/>
    </row>
    <row r="11207" spans="9:10" x14ac:dyDescent="0.25">
      <c r="I11207" s="199"/>
      <c r="J11207" s="199"/>
    </row>
    <row r="11208" spans="9:10" x14ac:dyDescent="0.25">
      <c r="I11208" s="199"/>
      <c r="J11208" s="199"/>
    </row>
    <row r="11209" spans="9:10" x14ac:dyDescent="0.25">
      <c r="I11209" s="199"/>
      <c r="J11209" s="199"/>
    </row>
    <row r="11210" spans="9:10" x14ac:dyDescent="0.25">
      <c r="I11210" s="199"/>
      <c r="J11210" s="199"/>
    </row>
    <row r="11211" spans="9:10" x14ac:dyDescent="0.25">
      <c r="I11211" s="199"/>
      <c r="J11211" s="199"/>
    </row>
    <row r="11212" spans="9:10" x14ac:dyDescent="0.25">
      <c r="I11212" s="199"/>
      <c r="J11212" s="199"/>
    </row>
    <row r="11213" spans="9:10" x14ac:dyDescent="0.25">
      <c r="I11213" s="199"/>
      <c r="J11213" s="199"/>
    </row>
    <row r="11214" spans="9:10" x14ac:dyDescent="0.25">
      <c r="I11214" s="199"/>
      <c r="J11214" s="199"/>
    </row>
    <row r="11215" spans="9:10" x14ac:dyDescent="0.25">
      <c r="I11215" s="199"/>
      <c r="J11215" s="199"/>
    </row>
    <row r="11216" spans="9:10" x14ac:dyDescent="0.25">
      <c r="I11216" s="199"/>
      <c r="J11216" s="199"/>
    </row>
    <row r="11217" spans="9:10" x14ac:dyDescent="0.25">
      <c r="I11217" s="199"/>
      <c r="J11217" s="199"/>
    </row>
    <row r="11218" spans="9:10" x14ac:dyDescent="0.25">
      <c r="I11218" s="199"/>
      <c r="J11218" s="199"/>
    </row>
    <row r="11219" spans="9:10" x14ac:dyDescent="0.25">
      <c r="I11219" s="199"/>
      <c r="J11219" s="199"/>
    </row>
    <row r="11220" spans="9:10" x14ac:dyDescent="0.25">
      <c r="I11220" s="199"/>
      <c r="J11220" s="199"/>
    </row>
    <row r="11221" spans="9:10" x14ac:dyDescent="0.25">
      <c r="I11221" s="199"/>
      <c r="J11221" s="199"/>
    </row>
    <row r="11222" spans="9:10" x14ac:dyDescent="0.25">
      <c r="I11222" s="199"/>
      <c r="J11222" s="199"/>
    </row>
    <row r="11223" spans="9:10" x14ac:dyDescent="0.25">
      <c r="I11223" s="199"/>
      <c r="J11223" s="199"/>
    </row>
    <row r="11224" spans="9:10" x14ac:dyDescent="0.25">
      <c r="I11224" s="199"/>
      <c r="J11224" s="199"/>
    </row>
    <row r="11225" spans="9:10" x14ac:dyDescent="0.25">
      <c r="I11225" s="199"/>
      <c r="J11225" s="199"/>
    </row>
    <row r="11226" spans="9:10" x14ac:dyDescent="0.25">
      <c r="I11226" s="199"/>
      <c r="J11226" s="199"/>
    </row>
    <row r="11227" spans="9:10" x14ac:dyDescent="0.25">
      <c r="I11227" s="199"/>
      <c r="J11227" s="199"/>
    </row>
    <row r="11228" spans="9:10" x14ac:dyDescent="0.25">
      <c r="I11228" s="199"/>
      <c r="J11228" s="199"/>
    </row>
    <row r="11229" spans="9:10" x14ac:dyDescent="0.25">
      <c r="I11229" s="199"/>
      <c r="J11229" s="199"/>
    </row>
    <row r="11230" spans="9:10" x14ac:dyDescent="0.25">
      <c r="I11230" s="199"/>
      <c r="J11230" s="199"/>
    </row>
    <row r="11231" spans="9:10" x14ac:dyDescent="0.25">
      <c r="I11231" s="199"/>
      <c r="J11231" s="199"/>
    </row>
    <row r="11232" spans="9:10" x14ac:dyDescent="0.25">
      <c r="I11232" s="199"/>
      <c r="J11232" s="199"/>
    </row>
    <row r="11233" spans="9:10" x14ac:dyDescent="0.25">
      <c r="I11233" s="199"/>
      <c r="J11233" s="199"/>
    </row>
    <row r="11234" spans="9:10" x14ac:dyDescent="0.25">
      <c r="I11234" s="199"/>
      <c r="J11234" s="199"/>
    </row>
    <row r="11235" spans="9:10" x14ac:dyDescent="0.25">
      <c r="I11235" s="199"/>
      <c r="J11235" s="199"/>
    </row>
    <row r="11236" spans="9:10" x14ac:dyDescent="0.25">
      <c r="I11236" s="199"/>
      <c r="J11236" s="199"/>
    </row>
    <row r="11237" spans="9:10" x14ac:dyDescent="0.25">
      <c r="I11237" s="199"/>
      <c r="J11237" s="199"/>
    </row>
    <row r="11238" spans="9:10" x14ac:dyDescent="0.25">
      <c r="I11238" s="199"/>
      <c r="J11238" s="199"/>
    </row>
    <row r="11239" spans="9:10" x14ac:dyDescent="0.25">
      <c r="I11239" s="199"/>
      <c r="J11239" s="199"/>
    </row>
    <row r="11240" spans="9:10" x14ac:dyDescent="0.25">
      <c r="I11240" s="199"/>
      <c r="J11240" s="199"/>
    </row>
    <row r="11241" spans="9:10" x14ac:dyDescent="0.25">
      <c r="I11241" s="199"/>
      <c r="J11241" s="199"/>
    </row>
    <row r="11242" spans="9:10" x14ac:dyDescent="0.25">
      <c r="I11242" s="199"/>
      <c r="J11242" s="199"/>
    </row>
    <row r="11243" spans="9:10" x14ac:dyDescent="0.25">
      <c r="I11243" s="199"/>
      <c r="J11243" s="199"/>
    </row>
    <row r="11244" spans="9:10" x14ac:dyDescent="0.25">
      <c r="I11244" s="199"/>
      <c r="J11244" s="199"/>
    </row>
    <row r="11245" spans="9:10" x14ac:dyDescent="0.25">
      <c r="I11245" s="199"/>
      <c r="J11245" s="199"/>
    </row>
    <row r="11246" spans="9:10" x14ac:dyDescent="0.25">
      <c r="I11246" s="199"/>
      <c r="J11246" s="199"/>
    </row>
    <row r="11247" spans="9:10" x14ac:dyDescent="0.25">
      <c r="I11247" s="199"/>
      <c r="J11247" s="199"/>
    </row>
    <row r="11248" spans="9:10" x14ac:dyDescent="0.25">
      <c r="I11248" s="199"/>
      <c r="J11248" s="199"/>
    </row>
    <row r="11249" spans="9:10" x14ac:dyDescent="0.25">
      <c r="I11249" s="199"/>
      <c r="J11249" s="199"/>
    </row>
    <row r="11250" spans="9:10" x14ac:dyDescent="0.25">
      <c r="I11250" s="199"/>
      <c r="J11250" s="199"/>
    </row>
    <row r="11251" spans="9:10" x14ac:dyDescent="0.25">
      <c r="I11251" s="199"/>
      <c r="J11251" s="199"/>
    </row>
    <row r="11252" spans="9:10" x14ac:dyDescent="0.25">
      <c r="I11252" s="199"/>
      <c r="J11252" s="199"/>
    </row>
    <row r="11253" spans="9:10" x14ac:dyDescent="0.25">
      <c r="I11253" s="199"/>
      <c r="J11253" s="199"/>
    </row>
    <row r="11254" spans="9:10" x14ac:dyDescent="0.25">
      <c r="I11254" s="199"/>
      <c r="J11254" s="199"/>
    </row>
    <row r="11255" spans="9:10" x14ac:dyDescent="0.25">
      <c r="I11255" s="199"/>
      <c r="J11255" s="199"/>
    </row>
    <row r="11256" spans="9:10" x14ac:dyDescent="0.25">
      <c r="I11256" s="199"/>
      <c r="J11256" s="199"/>
    </row>
    <row r="11257" spans="9:10" x14ac:dyDescent="0.25">
      <c r="I11257" s="199"/>
      <c r="J11257" s="199"/>
    </row>
    <row r="11258" spans="9:10" x14ac:dyDescent="0.25">
      <c r="I11258" s="199"/>
      <c r="J11258" s="199"/>
    </row>
    <row r="11259" spans="9:10" x14ac:dyDescent="0.25">
      <c r="I11259" s="199"/>
      <c r="J11259" s="199"/>
    </row>
    <row r="11260" spans="9:10" x14ac:dyDescent="0.25">
      <c r="I11260" s="199"/>
      <c r="J11260" s="199"/>
    </row>
    <row r="11261" spans="9:10" x14ac:dyDescent="0.25">
      <c r="I11261" s="199"/>
      <c r="J11261" s="199"/>
    </row>
    <row r="11262" spans="9:10" x14ac:dyDescent="0.25">
      <c r="I11262" s="199"/>
      <c r="J11262" s="199"/>
    </row>
    <row r="11263" spans="9:10" x14ac:dyDescent="0.25">
      <c r="I11263" s="199"/>
      <c r="J11263" s="199"/>
    </row>
    <row r="11264" spans="9:10" x14ac:dyDescent="0.25">
      <c r="I11264" s="199"/>
      <c r="J11264" s="199"/>
    </row>
    <row r="11265" spans="9:10" x14ac:dyDescent="0.25">
      <c r="I11265" s="199"/>
      <c r="J11265" s="199"/>
    </row>
    <row r="11266" spans="9:10" x14ac:dyDescent="0.25">
      <c r="I11266" s="199"/>
      <c r="J11266" s="199"/>
    </row>
    <row r="11267" spans="9:10" x14ac:dyDescent="0.25">
      <c r="I11267" s="199"/>
      <c r="J11267" s="199"/>
    </row>
    <row r="11268" spans="9:10" x14ac:dyDescent="0.25">
      <c r="I11268" s="199"/>
      <c r="J11268" s="199"/>
    </row>
    <row r="11269" spans="9:10" x14ac:dyDescent="0.25">
      <c r="I11269" s="199"/>
      <c r="J11269" s="199"/>
    </row>
    <row r="11270" spans="9:10" x14ac:dyDescent="0.25">
      <c r="I11270" s="199"/>
      <c r="J11270" s="199"/>
    </row>
    <row r="11271" spans="9:10" x14ac:dyDescent="0.25">
      <c r="I11271" s="199"/>
      <c r="J11271" s="199"/>
    </row>
    <row r="11272" spans="9:10" x14ac:dyDescent="0.25">
      <c r="I11272" s="199"/>
      <c r="J11272" s="199"/>
    </row>
    <row r="11273" spans="9:10" x14ac:dyDescent="0.25">
      <c r="I11273" s="199"/>
      <c r="J11273" s="199"/>
    </row>
    <row r="11274" spans="9:10" x14ac:dyDescent="0.25">
      <c r="I11274" s="199"/>
      <c r="J11274" s="199"/>
    </row>
    <row r="11275" spans="9:10" x14ac:dyDescent="0.25">
      <c r="I11275" s="199"/>
      <c r="J11275" s="199"/>
    </row>
    <row r="11276" spans="9:10" x14ac:dyDescent="0.25">
      <c r="I11276" s="199"/>
      <c r="J11276" s="199"/>
    </row>
    <row r="11277" spans="9:10" x14ac:dyDescent="0.25">
      <c r="I11277" s="199"/>
      <c r="J11277" s="199"/>
    </row>
    <row r="11278" spans="9:10" x14ac:dyDescent="0.25">
      <c r="I11278" s="199"/>
      <c r="J11278" s="199"/>
    </row>
    <row r="11279" spans="9:10" x14ac:dyDescent="0.25">
      <c r="I11279" s="199"/>
      <c r="J11279" s="199"/>
    </row>
    <row r="11280" spans="9:10" x14ac:dyDescent="0.25">
      <c r="I11280" s="199"/>
      <c r="J11280" s="199"/>
    </row>
    <row r="11281" spans="9:10" x14ac:dyDescent="0.25">
      <c r="I11281" s="199"/>
      <c r="J11281" s="199"/>
    </row>
    <row r="11282" spans="9:10" x14ac:dyDescent="0.25">
      <c r="I11282" s="199"/>
      <c r="J11282" s="199"/>
    </row>
    <row r="11283" spans="9:10" x14ac:dyDescent="0.25">
      <c r="I11283" s="199"/>
      <c r="J11283" s="199"/>
    </row>
    <row r="11284" spans="9:10" x14ac:dyDescent="0.25">
      <c r="I11284" s="199"/>
      <c r="J11284" s="199"/>
    </row>
    <row r="11285" spans="9:10" x14ac:dyDescent="0.25">
      <c r="I11285" s="199"/>
      <c r="J11285" s="199"/>
    </row>
    <row r="11286" spans="9:10" x14ac:dyDescent="0.25">
      <c r="I11286" s="199"/>
      <c r="J11286" s="199"/>
    </row>
    <row r="11287" spans="9:10" x14ac:dyDescent="0.25">
      <c r="I11287" s="199"/>
      <c r="J11287" s="199"/>
    </row>
    <row r="11288" spans="9:10" x14ac:dyDescent="0.25">
      <c r="I11288" s="199"/>
      <c r="J11288" s="199"/>
    </row>
    <row r="11289" spans="9:10" x14ac:dyDescent="0.25">
      <c r="I11289" s="199"/>
      <c r="J11289" s="199"/>
    </row>
    <row r="11290" spans="9:10" x14ac:dyDescent="0.25">
      <c r="I11290" s="199"/>
      <c r="J11290" s="199"/>
    </row>
    <row r="11291" spans="9:10" x14ac:dyDescent="0.25">
      <c r="I11291" s="199"/>
      <c r="J11291" s="199"/>
    </row>
    <row r="11292" spans="9:10" x14ac:dyDescent="0.25">
      <c r="I11292" s="199"/>
      <c r="J11292" s="199"/>
    </row>
    <row r="11293" spans="9:10" x14ac:dyDescent="0.25">
      <c r="I11293" s="199"/>
      <c r="J11293" s="199"/>
    </row>
    <row r="11294" spans="9:10" x14ac:dyDescent="0.25">
      <c r="I11294" s="199"/>
      <c r="J11294" s="199"/>
    </row>
    <row r="11295" spans="9:10" x14ac:dyDescent="0.25">
      <c r="I11295" s="199"/>
      <c r="J11295" s="199"/>
    </row>
    <row r="11296" spans="9:10" x14ac:dyDescent="0.25">
      <c r="I11296" s="199"/>
      <c r="J11296" s="199"/>
    </row>
    <row r="11297" spans="9:10" x14ac:dyDescent="0.25">
      <c r="I11297" s="199"/>
      <c r="J11297" s="199"/>
    </row>
    <row r="11298" spans="9:10" x14ac:dyDescent="0.25">
      <c r="I11298" s="199"/>
      <c r="J11298" s="199"/>
    </row>
    <row r="11299" spans="9:10" x14ac:dyDescent="0.25">
      <c r="I11299" s="199"/>
      <c r="J11299" s="199"/>
    </row>
    <row r="11300" spans="9:10" x14ac:dyDescent="0.25">
      <c r="I11300" s="199"/>
      <c r="J11300" s="199"/>
    </row>
    <row r="11301" spans="9:10" x14ac:dyDescent="0.25">
      <c r="I11301" s="199"/>
      <c r="J11301" s="199"/>
    </row>
    <row r="11302" spans="9:10" x14ac:dyDescent="0.25">
      <c r="I11302" s="199"/>
      <c r="J11302" s="199"/>
    </row>
    <row r="11303" spans="9:10" x14ac:dyDescent="0.25">
      <c r="I11303" s="199"/>
      <c r="J11303" s="199"/>
    </row>
    <row r="11304" spans="9:10" x14ac:dyDescent="0.25">
      <c r="I11304" s="199"/>
      <c r="J11304" s="199"/>
    </row>
    <row r="11305" spans="9:10" x14ac:dyDescent="0.25">
      <c r="I11305" s="199"/>
      <c r="J11305" s="199"/>
    </row>
    <row r="11306" spans="9:10" x14ac:dyDescent="0.25">
      <c r="I11306" s="199"/>
      <c r="J11306" s="199"/>
    </row>
    <row r="11307" spans="9:10" x14ac:dyDescent="0.25">
      <c r="I11307" s="199"/>
      <c r="J11307" s="199"/>
    </row>
    <row r="11308" spans="9:10" x14ac:dyDescent="0.25">
      <c r="I11308" s="199"/>
      <c r="J11308" s="199"/>
    </row>
    <row r="11309" spans="9:10" x14ac:dyDescent="0.25">
      <c r="I11309" s="199"/>
      <c r="J11309" s="199"/>
    </row>
    <row r="11310" spans="9:10" x14ac:dyDescent="0.25">
      <c r="I11310" s="199"/>
      <c r="J11310" s="199"/>
    </row>
    <row r="11311" spans="9:10" x14ac:dyDescent="0.25">
      <c r="I11311" s="199"/>
      <c r="J11311" s="199"/>
    </row>
    <row r="11312" spans="9:10" x14ac:dyDescent="0.25">
      <c r="I11312" s="199"/>
      <c r="J11312" s="199"/>
    </row>
    <row r="11313" spans="9:10" x14ac:dyDescent="0.25">
      <c r="I11313" s="199"/>
      <c r="J11313" s="199"/>
    </row>
    <row r="11314" spans="9:10" x14ac:dyDescent="0.25">
      <c r="I11314" s="199"/>
      <c r="J11314" s="199"/>
    </row>
    <row r="11315" spans="9:10" x14ac:dyDescent="0.25">
      <c r="I11315" s="199"/>
      <c r="J11315" s="199"/>
    </row>
    <row r="11316" spans="9:10" x14ac:dyDescent="0.25">
      <c r="I11316" s="199"/>
      <c r="J11316" s="199"/>
    </row>
    <row r="11317" spans="9:10" x14ac:dyDescent="0.25">
      <c r="I11317" s="199"/>
      <c r="J11317" s="199"/>
    </row>
    <row r="11318" spans="9:10" x14ac:dyDescent="0.25">
      <c r="I11318" s="199"/>
      <c r="J11318" s="199"/>
    </row>
    <row r="11319" spans="9:10" x14ac:dyDescent="0.25">
      <c r="I11319" s="199"/>
      <c r="J11319" s="199"/>
    </row>
    <row r="11320" spans="9:10" x14ac:dyDescent="0.25">
      <c r="I11320" s="199"/>
      <c r="J11320" s="199"/>
    </row>
    <row r="11321" spans="9:10" x14ac:dyDescent="0.25">
      <c r="I11321" s="199"/>
      <c r="J11321" s="199"/>
    </row>
    <row r="11322" spans="9:10" x14ac:dyDescent="0.25">
      <c r="I11322" s="199"/>
      <c r="J11322" s="199"/>
    </row>
    <row r="11323" spans="9:10" x14ac:dyDescent="0.25">
      <c r="I11323" s="199"/>
      <c r="J11323" s="199"/>
    </row>
    <row r="11324" spans="9:10" x14ac:dyDescent="0.25">
      <c r="I11324" s="199"/>
      <c r="J11324" s="199"/>
    </row>
    <row r="11325" spans="9:10" x14ac:dyDescent="0.25">
      <c r="I11325" s="199"/>
      <c r="J11325" s="199"/>
    </row>
    <row r="11326" spans="9:10" x14ac:dyDescent="0.25">
      <c r="I11326" s="199"/>
      <c r="J11326" s="199"/>
    </row>
    <row r="11327" spans="9:10" x14ac:dyDescent="0.25">
      <c r="I11327" s="199"/>
      <c r="J11327" s="199"/>
    </row>
    <row r="11328" spans="9:10" x14ac:dyDescent="0.25">
      <c r="I11328" s="199"/>
      <c r="J11328" s="199"/>
    </row>
    <row r="11329" spans="9:10" x14ac:dyDescent="0.25">
      <c r="I11329" s="199"/>
      <c r="J11329" s="199"/>
    </row>
    <row r="11330" spans="9:10" x14ac:dyDescent="0.25">
      <c r="I11330" s="199"/>
      <c r="J11330" s="199"/>
    </row>
    <row r="11331" spans="9:10" x14ac:dyDescent="0.25">
      <c r="I11331" s="199"/>
      <c r="J11331" s="199"/>
    </row>
    <row r="11332" spans="9:10" x14ac:dyDescent="0.25">
      <c r="I11332" s="199"/>
      <c r="J11332" s="199"/>
    </row>
    <row r="11333" spans="9:10" x14ac:dyDescent="0.25">
      <c r="I11333" s="199"/>
      <c r="J11333" s="199"/>
    </row>
    <row r="11334" spans="9:10" x14ac:dyDescent="0.25">
      <c r="I11334" s="199"/>
      <c r="J11334" s="199"/>
    </row>
    <row r="11335" spans="9:10" x14ac:dyDescent="0.25">
      <c r="I11335" s="199"/>
      <c r="J11335" s="199"/>
    </row>
    <row r="11336" spans="9:10" x14ac:dyDescent="0.25">
      <c r="I11336" s="199"/>
      <c r="J11336" s="199"/>
    </row>
    <row r="11337" spans="9:10" x14ac:dyDescent="0.25">
      <c r="I11337" s="199"/>
      <c r="J11337" s="199"/>
    </row>
    <row r="11338" spans="9:10" x14ac:dyDescent="0.25">
      <c r="I11338" s="199"/>
      <c r="J11338" s="199"/>
    </row>
    <row r="11339" spans="9:10" x14ac:dyDescent="0.25">
      <c r="I11339" s="199"/>
      <c r="J11339" s="199"/>
    </row>
    <row r="11340" spans="9:10" x14ac:dyDescent="0.25">
      <c r="I11340" s="199"/>
      <c r="J11340" s="199"/>
    </row>
    <row r="11341" spans="9:10" x14ac:dyDescent="0.25">
      <c r="I11341" s="199"/>
      <c r="J11341" s="199"/>
    </row>
    <row r="11342" spans="9:10" x14ac:dyDescent="0.25">
      <c r="I11342" s="199"/>
      <c r="J11342" s="199"/>
    </row>
    <row r="11343" spans="9:10" x14ac:dyDescent="0.25">
      <c r="I11343" s="199"/>
      <c r="J11343" s="199"/>
    </row>
    <row r="11344" spans="9:10" x14ac:dyDescent="0.25">
      <c r="I11344" s="199"/>
      <c r="J11344" s="199"/>
    </row>
    <row r="11345" spans="9:10" x14ac:dyDescent="0.25">
      <c r="I11345" s="199"/>
      <c r="J11345" s="199"/>
    </row>
    <row r="11346" spans="9:10" x14ac:dyDescent="0.25">
      <c r="I11346" s="199"/>
      <c r="J11346" s="199"/>
    </row>
    <row r="11347" spans="9:10" x14ac:dyDescent="0.25">
      <c r="I11347" s="199"/>
      <c r="J11347" s="199"/>
    </row>
    <row r="11348" spans="9:10" x14ac:dyDescent="0.25">
      <c r="I11348" s="199"/>
      <c r="J11348" s="199"/>
    </row>
    <row r="11349" spans="9:10" x14ac:dyDescent="0.25">
      <c r="I11349" s="199"/>
      <c r="J11349" s="199"/>
    </row>
    <row r="11350" spans="9:10" x14ac:dyDescent="0.25">
      <c r="I11350" s="199"/>
      <c r="J11350" s="199"/>
    </row>
    <row r="11351" spans="9:10" x14ac:dyDescent="0.25">
      <c r="I11351" s="199"/>
      <c r="J11351" s="199"/>
    </row>
    <row r="11352" spans="9:10" x14ac:dyDescent="0.25">
      <c r="I11352" s="199"/>
      <c r="J11352" s="199"/>
    </row>
    <row r="11353" spans="9:10" x14ac:dyDescent="0.25">
      <c r="I11353" s="199"/>
      <c r="J11353" s="199"/>
    </row>
    <row r="11354" spans="9:10" x14ac:dyDescent="0.25">
      <c r="I11354" s="199"/>
      <c r="J11354" s="199"/>
    </row>
    <row r="11355" spans="9:10" x14ac:dyDescent="0.25">
      <c r="I11355" s="199"/>
      <c r="J11355" s="199"/>
    </row>
    <row r="11356" spans="9:10" x14ac:dyDescent="0.25">
      <c r="I11356" s="199"/>
      <c r="J11356" s="199"/>
    </row>
    <row r="11357" spans="9:10" x14ac:dyDescent="0.25">
      <c r="I11357" s="199"/>
      <c r="J11357" s="199"/>
    </row>
    <row r="11358" spans="9:10" x14ac:dyDescent="0.25">
      <c r="I11358" s="199"/>
      <c r="J11358" s="199"/>
    </row>
    <row r="11359" spans="9:10" x14ac:dyDescent="0.25">
      <c r="I11359" s="199"/>
      <c r="J11359" s="199"/>
    </row>
    <row r="11360" spans="9:10" x14ac:dyDescent="0.25">
      <c r="I11360" s="199"/>
      <c r="J11360" s="199"/>
    </row>
    <row r="11361" spans="9:10" x14ac:dyDescent="0.25">
      <c r="I11361" s="199"/>
      <c r="J11361" s="199"/>
    </row>
    <row r="11362" spans="9:10" x14ac:dyDescent="0.25">
      <c r="I11362" s="199"/>
      <c r="J11362" s="199"/>
    </row>
    <row r="11363" spans="9:10" x14ac:dyDescent="0.25">
      <c r="I11363" s="199"/>
      <c r="J11363" s="199"/>
    </row>
    <row r="11364" spans="9:10" x14ac:dyDescent="0.25">
      <c r="I11364" s="199"/>
      <c r="J11364" s="199"/>
    </row>
    <row r="11365" spans="9:10" x14ac:dyDescent="0.25">
      <c r="I11365" s="199"/>
      <c r="J11365" s="199"/>
    </row>
    <row r="11366" spans="9:10" x14ac:dyDescent="0.25">
      <c r="I11366" s="199"/>
      <c r="J11366" s="199"/>
    </row>
    <row r="11367" spans="9:10" x14ac:dyDescent="0.25">
      <c r="I11367" s="199"/>
      <c r="J11367" s="199"/>
    </row>
    <row r="11368" spans="9:10" x14ac:dyDescent="0.25">
      <c r="I11368" s="199"/>
      <c r="J11368" s="199"/>
    </row>
    <row r="11369" spans="9:10" x14ac:dyDescent="0.25">
      <c r="I11369" s="199"/>
      <c r="J11369" s="199"/>
    </row>
    <row r="11370" spans="9:10" x14ac:dyDescent="0.25">
      <c r="I11370" s="199"/>
      <c r="J11370" s="199"/>
    </row>
    <row r="11371" spans="9:10" x14ac:dyDescent="0.25">
      <c r="I11371" s="199"/>
      <c r="J11371" s="199"/>
    </row>
    <row r="11372" spans="9:10" x14ac:dyDescent="0.25">
      <c r="I11372" s="199"/>
      <c r="J11372" s="199"/>
    </row>
    <row r="11373" spans="9:10" x14ac:dyDescent="0.25">
      <c r="I11373" s="199"/>
      <c r="J11373" s="199"/>
    </row>
    <row r="11374" spans="9:10" x14ac:dyDescent="0.25">
      <c r="I11374" s="199"/>
      <c r="J11374" s="199"/>
    </row>
    <row r="11375" spans="9:10" x14ac:dyDescent="0.25">
      <c r="I11375" s="199"/>
      <c r="J11375" s="199"/>
    </row>
    <row r="11376" spans="9:10" x14ac:dyDescent="0.25">
      <c r="I11376" s="199"/>
      <c r="J11376" s="199"/>
    </row>
    <row r="11377" spans="9:10" x14ac:dyDescent="0.25">
      <c r="I11377" s="199"/>
      <c r="J11377" s="199"/>
    </row>
    <row r="11378" spans="9:10" x14ac:dyDescent="0.25">
      <c r="I11378" s="199"/>
      <c r="J11378" s="199"/>
    </row>
    <row r="11379" spans="9:10" x14ac:dyDescent="0.25">
      <c r="I11379" s="199"/>
      <c r="J11379" s="199"/>
    </row>
    <row r="11380" spans="9:10" x14ac:dyDescent="0.25">
      <c r="I11380" s="199"/>
      <c r="J11380" s="199"/>
    </row>
    <row r="11381" spans="9:10" x14ac:dyDescent="0.25">
      <c r="I11381" s="199"/>
      <c r="J11381" s="199"/>
    </row>
    <row r="11382" spans="9:10" x14ac:dyDescent="0.25">
      <c r="I11382" s="199"/>
      <c r="J11382" s="199"/>
    </row>
    <row r="11383" spans="9:10" x14ac:dyDescent="0.25">
      <c r="I11383" s="199"/>
      <c r="J11383" s="199"/>
    </row>
    <row r="11384" spans="9:10" x14ac:dyDescent="0.25">
      <c r="I11384" s="199"/>
      <c r="J11384" s="199"/>
    </row>
    <row r="11385" spans="9:10" x14ac:dyDescent="0.25">
      <c r="I11385" s="199"/>
      <c r="J11385" s="199"/>
    </row>
    <row r="11386" spans="9:10" x14ac:dyDescent="0.25">
      <c r="I11386" s="199"/>
      <c r="J11386" s="199"/>
    </row>
    <row r="11387" spans="9:10" x14ac:dyDescent="0.25">
      <c r="I11387" s="199"/>
      <c r="J11387" s="199"/>
    </row>
    <row r="11388" spans="9:10" x14ac:dyDescent="0.25">
      <c r="I11388" s="199"/>
      <c r="J11388" s="199"/>
    </row>
    <row r="11389" spans="9:10" x14ac:dyDescent="0.25">
      <c r="I11389" s="199"/>
      <c r="J11389" s="199"/>
    </row>
    <row r="11390" spans="9:10" x14ac:dyDescent="0.25">
      <c r="I11390" s="199"/>
      <c r="J11390" s="199"/>
    </row>
    <row r="11391" spans="9:10" x14ac:dyDescent="0.25">
      <c r="I11391" s="199"/>
      <c r="J11391" s="199"/>
    </row>
    <row r="11392" spans="9:10" x14ac:dyDescent="0.25">
      <c r="I11392" s="199"/>
      <c r="J11392" s="199"/>
    </row>
    <row r="11393" spans="9:10" x14ac:dyDescent="0.25">
      <c r="I11393" s="199"/>
      <c r="J11393" s="199"/>
    </row>
    <row r="11394" spans="9:10" x14ac:dyDescent="0.25">
      <c r="I11394" s="199"/>
      <c r="J11394" s="199"/>
    </row>
    <row r="11395" spans="9:10" x14ac:dyDescent="0.25">
      <c r="I11395" s="199"/>
      <c r="J11395" s="199"/>
    </row>
    <row r="11396" spans="9:10" x14ac:dyDescent="0.25">
      <c r="I11396" s="199"/>
      <c r="J11396" s="199"/>
    </row>
    <row r="11397" spans="9:10" x14ac:dyDescent="0.25">
      <c r="I11397" s="199"/>
      <c r="J11397" s="199"/>
    </row>
    <row r="11398" spans="9:10" x14ac:dyDescent="0.25">
      <c r="I11398" s="199"/>
      <c r="J11398" s="199"/>
    </row>
    <row r="11399" spans="9:10" x14ac:dyDescent="0.25">
      <c r="I11399" s="199"/>
      <c r="J11399" s="199"/>
    </row>
    <row r="11400" spans="9:10" x14ac:dyDescent="0.25">
      <c r="I11400" s="199"/>
      <c r="J11400" s="199"/>
    </row>
    <row r="11401" spans="9:10" x14ac:dyDescent="0.25">
      <c r="I11401" s="199"/>
      <c r="J11401" s="199"/>
    </row>
    <row r="11402" spans="9:10" x14ac:dyDescent="0.25">
      <c r="I11402" s="199"/>
      <c r="J11402" s="199"/>
    </row>
    <row r="11403" spans="9:10" x14ac:dyDescent="0.25">
      <c r="I11403" s="199"/>
      <c r="J11403" s="199"/>
    </row>
    <row r="11404" spans="9:10" x14ac:dyDescent="0.25">
      <c r="I11404" s="199"/>
      <c r="J11404" s="199"/>
    </row>
    <row r="11405" spans="9:10" x14ac:dyDescent="0.25">
      <c r="I11405" s="199"/>
      <c r="J11405" s="199"/>
    </row>
    <row r="11406" spans="9:10" x14ac:dyDescent="0.25">
      <c r="I11406" s="199"/>
      <c r="J11406" s="199"/>
    </row>
    <row r="11407" spans="9:10" x14ac:dyDescent="0.25">
      <c r="I11407" s="199"/>
      <c r="J11407" s="199"/>
    </row>
    <row r="11408" spans="9:10" x14ac:dyDescent="0.25">
      <c r="I11408" s="199"/>
      <c r="J11408" s="199"/>
    </row>
    <row r="11409" spans="9:10" x14ac:dyDescent="0.25">
      <c r="I11409" s="199"/>
      <c r="J11409" s="199"/>
    </row>
    <row r="11410" spans="9:10" x14ac:dyDescent="0.25">
      <c r="I11410" s="199"/>
      <c r="J11410" s="199"/>
    </row>
    <row r="11411" spans="9:10" x14ac:dyDescent="0.25">
      <c r="I11411" s="199"/>
      <c r="J11411" s="199"/>
    </row>
    <row r="11412" spans="9:10" x14ac:dyDescent="0.25">
      <c r="I11412" s="199"/>
      <c r="J11412" s="199"/>
    </row>
    <row r="11413" spans="9:10" x14ac:dyDescent="0.25">
      <c r="I11413" s="199"/>
      <c r="J11413" s="199"/>
    </row>
    <row r="11414" spans="9:10" x14ac:dyDescent="0.25">
      <c r="I11414" s="199"/>
      <c r="J11414" s="199"/>
    </row>
    <row r="11415" spans="9:10" x14ac:dyDescent="0.25">
      <c r="I11415" s="199"/>
      <c r="J11415" s="199"/>
    </row>
    <row r="11416" spans="9:10" x14ac:dyDescent="0.25">
      <c r="I11416" s="199"/>
      <c r="J11416" s="199"/>
    </row>
    <row r="11417" spans="9:10" x14ac:dyDescent="0.25">
      <c r="I11417" s="199"/>
      <c r="J11417" s="199"/>
    </row>
    <row r="11418" spans="9:10" x14ac:dyDescent="0.25">
      <c r="I11418" s="199"/>
      <c r="J11418" s="199"/>
    </row>
    <row r="11419" spans="9:10" x14ac:dyDescent="0.25">
      <c r="I11419" s="199"/>
      <c r="J11419" s="199"/>
    </row>
    <row r="11420" spans="9:10" x14ac:dyDescent="0.25">
      <c r="I11420" s="199"/>
      <c r="J11420" s="199"/>
    </row>
    <row r="11421" spans="9:10" x14ac:dyDescent="0.25">
      <c r="I11421" s="199"/>
      <c r="J11421" s="199"/>
    </row>
    <row r="11422" spans="9:10" x14ac:dyDescent="0.25">
      <c r="I11422" s="199"/>
      <c r="J11422" s="199"/>
    </row>
    <row r="11423" spans="9:10" x14ac:dyDescent="0.25">
      <c r="I11423" s="199"/>
      <c r="J11423" s="199"/>
    </row>
    <row r="11424" spans="9:10" x14ac:dyDescent="0.25">
      <c r="I11424" s="199"/>
      <c r="J11424" s="199"/>
    </row>
    <row r="11425" spans="9:10" x14ac:dyDescent="0.25">
      <c r="I11425" s="199"/>
      <c r="J11425" s="199"/>
    </row>
    <row r="11426" spans="9:10" x14ac:dyDescent="0.25">
      <c r="I11426" s="199"/>
      <c r="J11426" s="199"/>
    </row>
    <row r="11427" spans="9:10" x14ac:dyDescent="0.25">
      <c r="I11427" s="199"/>
      <c r="J11427" s="199"/>
    </row>
    <row r="11428" spans="9:10" x14ac:dyDescent="0.25">
      <c r="I11428" s="199"/>
      <c r="J11428" s="199"/>
    </row>
    <row r="11429" spans="9:10" x14ac:dyDescent="0.25">
      <c r="I11429" s="199"/>
      <c r="J11429" s="199"/>
    </row>
    <row r="11430" spans="9:10" x14ac:dyDescent="0.25">
      <c r="I11430" s="199"/>
      <c r="J11430" s="199"/>
    </row>
    <row r="11431" spans="9:10" x14ac:dyDescent="0.25">
      <c r="I11431" s="199"/>
      <c r="J11431" s="199"/>
    </row>
    <row r="11432" spans="9:10" x14ac:dyDescent="0.25">
      <c r="I11432" s="199"/>
      <c r="J11432" s="199"/>
    </row>
    <row r="11433" spans="9:10" x14ac:dyDescent="0.25">
      <c r="I11433" s="199"/>
      <c r="J11433" s="199"/>
    </row>
    <row r="11434" spans="9:10" x14ac:dyDescent="0.25">
      <c r="I11434" s="199"/>
      <c r="J11434" s="199"/>
    </row>
    <row r="11435" spans="9:10" x14ac:dyDescent="0.25">
      <c r="I11435" s="199"/>
      <c r="J11435" s="199"/>
    </row>
    <row r="11436" spans="9:10" x14ac:dyDescent="0.25">
      <c r="I11436" s="199"/>
      <c r="J11436" s="199"/>
    </row>
    <row r="11437" spans="9:10" x14ac:dyDescent="0.25">
      <c r="I11437" s="199"/>
      <c r="J11437" s="199"/>
    </row>
    <row r="11438" spans="9:10" x14ac:dyDescent="0.25">
      <c r="I11438" s="199"/>
      <c r="J11438" s="199"/>
    </row>
    <row r="11439" spans="9:10" x14ac:dyDescent="0.25">
      <c r="I11439" s="199"/>
      <c r="J11439" s="199"/>
    </row>
    <row r="11440" spans="9:10" x14ac:dyDescent="0.25">
      <c r="I11440" s="199"/>
      <c r="J11440" s="199"/>
    </row>
    <row r="11441" spans="9:10" x14ac:dyDescent="0.25">
      <c r="I11441" s="199"/>
      <c r="J11441" s="199"/>
    </row>
    <row r="11442" spans="9:10" x14ac:dyDescent="0.25">
      <c r="I11442" s="199"/>
      <c r="J11442" s="199"/>
    </row>
    <row r="11443" spans="9:10" x14ac:dyDescent="0.25">
      <c r="I11443" s="199"/>
      <c r="J11443" s="199"/>
    </row>
    <row r="11444" spans="9:10" x14ac:dyDescent="0.25">
      <c r="I11444" s="199"/>
      <c r="J11444" s="199"/>
    </row>
    <row r="11445" spans="9:10" x14ac:dyDescent="0.25">
      <c r="I11445" s="199"/>
      <c r="J11445" s="199"/>
    </row>
    <row r="11446" spans="9:10" x14ac:dyDescent="0.25">
      <c r="I11446" s="199"/>
      <c r="J11446" s="199"/>
    </row>
    <row r="11447" spans="9:10" x14ac:dyDescent="0.25">
      <c r="I11447" s="199"/>
      <c r="J11447" s="199"/>
    </row>
    <row r="11448" spans="9:10" x14ac:dyDescent="0.25">
      <c r="I11448" s="199"/>
      <c r="J11448" s="199"/>
    </row>
    <row r="11449" spans="9:10" x14ac:dyDescent="0.25">
      <c r="I11449" s="199"/>
      <c r="J11449" s="199"/>
    </row>
    <row r="11450" spans="9:10" x14ac:dyDescent="0.25">
      <c r="I11450" s="199"/>
      <c r="J11450" s="199"/>
    </row>
    <row r="11451" spans="9:10" x14ac:dyDescent="0.25">
      <c r="I11451" s="199"/>
      <c r="J11451" s="199"/>
    </row>
    <row r="11452" spans="9:10" x14ac:dyDescent="0.25">
      <c r="I11452" s="199"/>
      <c r="J11452" s="199"/>
    </row>
    <row r="11453" spans="9:10" x14ac:dyDescent="0.25">
      <c r="I11453" s="199"/>
      <c r="J11453" s="199"/>
    </row>
    <row r="11454" spans="9:10" x14ac:dyDescent="0.25">
      <c r="I11454" s="199"/>
      <c r="J11454" s="199"/>
    </row>
    <row r="11455" spans="9:10" x14ac:dyDescent="0.25">
      <c r="I11455" s="199"/>
      <c r="J11455" s="199"/>
    </row>
    <row r="11456" spans="9:10" x14ac:dyDescent="0.25">
      <c r="I11456" s="199"/>
      <c r="J11456" s="199"/>
    </row>
    <row r="11457" spans="9:10" x14ac:dyDescent="0.25">
      <c r="I11457" s="199"/>
      <c r="J11457" s="199"/>
    </row>
    <row r="11458" spans="9:10" x14ac:dyDescent="0.25">
      <c r="I11458" s="199"/>
      <c r="J11458" s="199"/>
    </row>
    <row r="11459" spans="9:10" x14ac:dyDescent="0.25">
      <c r="I11459" s="199"/>
      <c r="J11459" s="199"/>
    </row>
    <row r="11460" spans="9:10" x14ac:dyDescent="0.25">
      <c r="I11460" s="199"/>
      <c r="J11460" s="199"/>
    </row>
    <row r="11461" spans="9:10" x14ac:dyDescent="0.25">
      <c r="I11461" s="199"/>
      <c r="J11461" s="199"/>
    </row>
    <row r="11462" spans="9:10" x14ac:dyDescent="0.25">
      <c r="I11462" s="199"/>
      <c r="J11462" s="199"/>
    </row>
    <row r="11463" spans="9:10" x14ac:dyDescent="0.25">
      <c r="I11463" s="199"/>
      <c r="J11463" s="199"/>
    </row>
    <row r="11464" spans="9:10" x14ac:dyDescent="0.25">
      <c r="I11464" s="199"/>
      <c r="J11464" s="199"/>
    </row>
    <row r="11465" spans="9:10" x14ac:dyDescent="0.25">
      <c r="I11465" s="199"/>
      <c r="J11465" s="199"/>
    </row>
    <row r="11466" spans="9:10" x14ac:dyDescent="0.25">
      <c r="I11466" s="199"/>
      <c r="J11466" s="199"/>
    </row>
    <row r="11467" spans="9:10" x14ac:dyDescent="0.25">
      <c r="I11467" s="199"/>
      <c r="J11467" s="199"/>
    </row>
    <row r="11468" spans="9:10" x14ac:dyDescent="0.25">
      <c r="I11468" s="199"/>
      <c r="J11468" s="199"/>
    </row>
    <row r="11469" spans="9:10" x14ac:dyDescent="0.25">
      <c r="I11469" s="199"/>
      <c r="J11469" s="199"/>
    </row>
    <row r="11470" spans="9:10" x14ac:dyDescent="0.25">
      <c r="I11470" s="199"/>
      <c r="J11470" s="199"/>
    </row>
    <row r="11471" spans="9:10" x14ac:dyDescent="0.25">
      <c r="I11471" s="199"/>
      <c r="J11471" s="199"/>
    </row>
    <row r="11472" spans="9:10" x14ac:dyDescent="0.25">
      <c r="I11472" s="199"/>
      <c r="J11472" s="199"/>
    </row>
    <row r="11473" spans="9:10" x14ac:dyDescent="0.25">
      <c r="I11473" s="199"/>
      <c r="J11473" s="199"/>
    </row>
    <row r="11474" spans="9:10" x14ac:dyDescent="0.25">
      <c r="I11474" s="199"/>
      <c r="J11474" s="199"/>
    </row>
    <row r="11475" spans="9:10" x14ac:dyDescent="0.25">
      <c r="I11475" s="199"/>
      <c r="J11475" s="199"/>
    </row>
    <row r="11476" spans="9:10" x14ac:dyDescent="0.25">
      <c r="I11476" s="199"/>
      <c r="J11476" s="199"/>
    </row>
    <row r="11477" spans="9:10" x14ac:dyDescent="0.25">
      <c r="I11477" s="199"/>
      <c r="J11477" s="199"/>
    </row>
    <row r="11478" spans="9:10" x14ac:dyDescent="0.25">
      <c r="I11478" s="199"/>
      <c r="J11478" s="199"/>
    </row>
    <row r="11479" spans="9:10" x14ac:dyDescent="0.25">
      <c r="I11479" s="199"/>
      <c r="J11479" s="199"/>
    </row>
    <row r="11480" spans="9:10" x14ac:dyDescent="0.25">
      <c r="I11480" s="199"/>
      <c r="J11480" s="199"/>
    </row>
    <row r="11481" spans="9:10" x14ac:dyDescent="0.25">
      <c r="I11481" s="199"/>
      <c r="J11481" s="199"/>
    </row>
    <row r="11482" spans="9:10" x14ac:dyDescent="0.25">
      <c r="I11482" s="199"/>
      <c r="J11482" s="199"/>
    </row>
    <row r="11483" spans="9:10" x14ac:dyDescent="0.25">
      <c r="I11483" s="199"/>
      <c r="J11483" s="199"/>
    </row>
    <row r="11484" spans="9:10" x14ac:dyDescent="0.25">
      <c r="I11484" s="199"/>
      <c r="J11484" s="199"/>
    </row>
    <row r="11485" spans="9:10" x14ac:dyDescent="0.25">
      <c r="I11485" s="199"/>
      <c r="J11485" s="199"/>
    </row>
    <row r="11486" spans="9:10" x14ac:dyDescent="0.25">
      <c r="I11486" s="199"/>
      <c r="J11486" s="199"/>
    </row>
    <row r="11487" spans="9:10" x14ac:dyDescent="0.25">
      <c r="I11487" s="199"/>
      <c r="J11487" s="199"/>
    </row>
    <row r="11488" spans="9:10" x14ac:dyDescent="0.25">
      <c r="I11488" s="199"/>
      <c r="J11488" s="199"/>
    </row>
    <row r="11489" spans="9:10" x14ac:dyDescent="0.25">
      <c r="I11489" s="199"/>
      <c r="J11489" s="199"/>
    </row>
    <row r="11490" spans="9:10" x14ac:dyDescent="0.25">
      <c r="I11490" s="199"/>
      <c r="J11490" s="199"/>
    </row>
    <row r="11491" spans="9:10" x14ac:dyDescent="0.25">
      <c r="I11491" s="199"/>
      <c r="J11491" s="199"/>
    </row>
    <row r="11492" spans="9:10" x14ac:dyDescent="0.25">
      <c r="I11492" s="199"/>
      <c r="J11492" s="199"/>
    </row>
    <row r="11493" spans="9:10" x14ac:dyDescent="0.25">
      <c r="I11493" s="199"/>
      <c r="J11493" s="199"/>
    </row>
    <row r="11494" spans="9:10" x14ac:dyDescent="0.25">
      <c r="I11494" s="199"/>
      <c r="J11494" s="199"/>
    </row>
    <row r="11495" spans="9:10" x14ac:dyDescent="0.25">
      <c r="I11495" s="199"/>
      <c r="J11495" s="199"/>
    </row>
    <row r="11496" spans="9:10" x14ac:dyDescent="0.25">
      <c r="I11496" s="199"/>
      <c r="J11496" s="199"/>
    </row>
    <row r="11497" spans="9:10" x14ac:dyDescent="0.25">
      <c r="I11497" s="199"/>
      <c r="J11497" s="199"/>
    </row>
    <row r="11498" spans="9:10" x14ac:dyDescent="0.25">
      <c r="I11498" s="199"/>
      <c r="J11498" s="199"/>
    </row>
    <row r="11499" spans="9:10" x14ac:dyDescent="0.25">
      <c r="I11499" s="199"/>
      <c r="J11499" s="199"/>
    </row>
    <row r="11500" spans="9:10" x14ac:dyDescent="0.25">
      <c r="I11500" s="199"/>
      <c r="J11500" s="199"/>
    </row>
    <row r="11501" spans="9:10" x14ac:dyDescent="0.25">
      <c r="I11501" s="199"/>
      <c r="J11501" s="199"/>
    </row>
    <row r="11502" spans="9:10" x14ac:dyDescent="0.25">
      <c r="I11502" s="199"/>
      <c r="J11502" s="199"/>
    </row>
    <row r="11503" spans="9:10" x14ac:dyDescent="0.25">
      <c r="I11503" s="199"/>
      <c r="J11503" s="199"/>
    </row>
    <row r="11504" spans="9:10" x14ac:dyDescent="0.25">
      <c r="I11504" s="199"/>
      <c r="J11504" s="199"/>
    </row>
    <row r="11505" spans="9:10" x14ac:dyDescent="0.25">
      <c r="I11505" s="199"/>
      <c r="J11505" s="199"/>
    </row>
    <row r="11506" spans="9:10" x14ac:dyDescent="0.25">
      <c r="I11506" s="199"/>
      <c r="J11506" s="199"/>
    </row>
    <row r="11507" spans="9:10" x14ac:dyDescent="0.25">
      <c r="I11507" s="199"/>
      <c r="J11507" s="199"/>
    </row>
    <row r="11508" spans="9:10" x14ac:dyDescent="0.25">
      <c r="I11508" s="199"/>
      <c r="J11508" s="199"/>
    </row>
    <row r="11509" spans="9:10" x14ac:dyDescent="0.25">
      <c r="I11509" s="199"/>
      <c r="J11509" s="199"/>
    </row>
    <row r="11510" spans="9:10" x14ac:dyDescent="0.25">
      <c r="I11510" s="199"/>
      <c r="J11510" s="199"/>
    </row>
    <row r="11511" spans="9:10" x14ac:dyDescent="0.25">
      <c r="I11511" s="199"/>
      <c r="J11511" s="199"/>
    </row>
    <row r="11512" spans="9:10" x14ac:dyDescent="0.25">
      <c r="I11512" s="199"/>
      <c r="J11512" s="199"/>
    </row>
    <row r="11513" spans="9:10" x14ac:dyDescent="0.25">
      <c r="I11513" s="199"/>
      <c r="J11513" s="199"/>
    </row>
    <row r="11514" spans="9:10" x14ac:dyDescent="0.25">
      <c r="I11514" s="199"/>
      <c r="J11514" s="199"/>
    </row>
    <row r="11515" spans="9:10" x14ac:dyDescent="0.25">
      <c r="I11515" s="199"/>
      <c r="J11515" s="199"/>
    </row>
    <row r="11516" spans="9:10" x14ac:dyDescent="0.25">
      <c r="I11516" s="199"/>
      <c r="J11516" s="199"/>
    </row>
    <row r="11517" spans="9:10" x14ac:dyDescent="0.25">
      <c r="I11517" s="199"/>
      <c r="J11517" s="199"/>
    </row>
    <row r="11518" spans="9:10" x14ac:dyDescent="0.25">
      <c r="I11518" s="199"/>
      <c r="J11518" s="199"/>
    </row>
    <row r="11519" spans="9:10" x14ac:dyDescent="0.25">
      <c r="I11519" s="199"/>
      <c r="J11519" s="199"/>
    </row>
    <row r="11520" spans="9:10" x14ac:dyDescent="0.25">
      <c r="I11520" s="199"/>
      <c r="J11520" s="199"/>
    </row>
    <row r="11521" spans="9:10" x14ac:dyDescent="0.25">
      <c r="I11521" s="199"/>
      <c r="J11521" s="199"/>
    </row>
    <row r="11522" spans="9:10" x14ac:dyDescent="0.25">
      <c r="I11522" s="199"/>
      <c r="J11522" s="199"/>
    </row>
    <row r="11523" spans="9:10" x14ac:dyDescent="0.25">
      <c r="I11523" s="199"/>
      <c r="J11523" s="199"/>
    </row>
    <row r="11524" spans="9:10" x14ac:dyDescent="0.25">
      <c r="I11524" s="199"/>
      <c r="J11524" s="199"/>
    </row>
    <row r="11525" spans="9:10" x14ac:dyDescent="0.25">
      <c r="I11525" s="199"/>
      <c r="J11525" s="199"/>
    </row>
    <row r="11526" spans="9:10" x14ac:dyDescent="0.25">
      <c r="I11526" s="199"/>
      <c r="J11526" s="199"/>
    </row>
    <row r="11527" spans="9:10" x14ac:dyDescent="0.25">
      <c r="I11527" s="199"/>
      <c r="J11527" s="199"/>
    </row>
    <row r="11528" spans="9:10" x14ac:dyDescent="0.25">
      <c r="I11528" s="199"/>
      <c r="J11528" s="199"/>
    </row>
    <row r="11529" spans="9:10" x14ac:dyDescent="0.25">
      <c r="I11529" s="199"/>
      <c r="J11529" s="199"/>
    </row>
    <row r="11530" spans="9:10" x14ac:dyDescent="0.25">
      <c r="I11530" s="199"/>
      <c r="J11530" s="199"/>
    </row>
    <row r="11531" spans="9:10" x14ac:dyDescent="0.25">
      <c r="I11531" s="199"/>
      <c r="J11531" s="199"/>
    </row>
    <row r="11532" spans="9:10" x14ac:dyDescent="0.25">
      <c r="I11532" s="199"/>
      <c r="J11532" s="199"/>
    </row>
    <row r="11533" spans="9:10" x14ac:dyDescent="0.25">
      <c r="I11533" s="199"/>
      <c r="J11533" s="199"/>
    </row>
    <row r="11534" spans="9:10" x14ac:dyDescent="0.25">
      <c r="I11534" s="199"/>
      <c r="J11534" s="199"/>
    </row>
    <row r="11535" spans="9:10" x14ac:dyDescent="0.25">
      <c r="I11535" s="199"/>
      <c r="J11535" s="199"/>
    </row>
    <row r="11536" spans="9:10" x14ac:dyDescent="0.25">
      <c r="I11536" s="199"/>
      <c r="J11536" s="199"/>
    </row>
    <row r="11537" spans="9:10" x14ac:dyDescent="0.25">
      <c r="I11537" s="199"/>
      <c r="J11537" s="199"/>
    </row>
    <row r="11538" spans="9:10" x14ac:dyDescent="0.25">
      <c r="I11538" s="199"/>
      <c r="J11538" s="199"/>
    </row>
    <row r="11539" spans="9:10" x14ac:dyDescent="0.25">
      <c r="I11539" s="199"/>
      <c r="J11539" s="199"/>
    </row>
    <row r="11540" spans="9:10" x14ac:dyDescent="0.25">
      <c r="I11540" s="199"/>
      <c r="J11540" s="199"/>
    </row>
    <row r="11541" spans="9:10" x14ac:dyDescent="0.25">
      <c r="I11541" s="199"/>
      <c r="J11541" s="199"/>
    </row>
    <row r="11542" spans="9:10" x14ac:dyDescent="0.25">
      <c r="I11542" s="199"/>
      <c r="J11542" s="199"/>
    </row>
    <row r="11543" spans="9:10" x14ac:dyDescent="0.25">
      <c r="I11543" s="199"/>
      <c r="J11543" s="199"/>
    </row>
    <row r="11544" spans="9:10" x14ac:dyDescent="0.25">
      <c r="I11544" s="199"/>
      <c r="J11544" s="199"/>
    </row>
    <row r="11545" spans="9:10" x14ac:dyDescent="0.25">
      <c r="I11545" s="199"/>
      <c r="J11545" s="199"/>
    </row>
    <row r="11546" spans="9:10" x14ac:dyDescent="0.25">
      <c r="I11546" s="199"/>
      <c r="J11546" s="199"/>
    </row>
    <row r="11547" spans="9:10" x14ac:dyDescent="0.25">
      <c r="I11547" s="199"/>
      <c r="J11547" s="199"/>
    </row>
    <row r="11548" spans="9:10" x14ac:dyDescent="0.25">
      <c r="I11548" s="199"/>
      <c r="J11548" s="199"/>
    </row>
    <row r="11549" spans="9:10" x14ac:dyDescent="0.25">
      <c r="I11549" s="199"/>
      <c r="J11549" s="199"/>
    </row>
    <row r="11550" spans="9:10" x14ac:dyDescent="0.25">
      <c r="I11550" s="199"/>
      <c r="J11550" s="199"/>
    </row>
    <row r="11551" spans="9:10" x14ac:dyDescent="0.25">
      <c r="I11551" s="199"/>
      <c r="J11551" s="199"/>
    </row>
    <row r="11552" spans="9:10" x14ac:dyDescent="0.25">
      <c r="I11552" s="199"/>
      <c r="J11552" s="199"/>
    </row>
    <row r="11553" spans="9:10" x14ac:dyDescent="0.25">
      <c r="I11553" s="199"/>
      <c r="J11553" s="199"/>
    </row>
    <row r="11554" spans="9:10" x14ac:dyDescent="0.25">
      <c r="I11554" s="199"/>
      <c r="J11554" s="199"/>
    </row>
    <row r="11555" spans="9:10" x14ac:dyDescent="0.25">
      <c r="I11555" s="199"/>
      <c r="J11555" s="199"/>
    </row>
    <row r="11556" spans="9:10" x14ac:dyDescent="0.25">
      <c r="I11556" s="199"/>
      <c r="J11556" s="199"/>
    </row>
    <row r="11557" spans="9:10" x14ac:dyDescent="0.25">
      <c r="I11557" s="199"/>
      <c r="J11557" s="199"/>
    </row>
    <row r="11558" spans="9:10" x14ac:dyDescent="0.25">
      <c r="I11558" s="199"/>
      <c r="J11558" s="199"/>
    </row>
    <row r="11559" spans="9:10" x14ac:dyDescent="0.25">
      <c r="I11559" s="199"/>
      <c r="J11559" s="199"/>
    </row>
    <row r="11560" spans="9:10" x14ac:dyDescent="0.25">
      <c r="I11560" s="199"/>
      <c r="J11560" s="199"/>
    </row>
    <row r="11561" spans="9:10" x14ac:dyDescent="0.25">
      <c r="I11561" s="199"/>
      <c r="J11561" s="199"/>
    </row>
    <row r="11562" spans="9:10" x14ac:dyDescent="0.25">
      <c r="I11562" s="199"/>
      <c r="J11562" s="199"/>
    </row>
    <row r="11563" spans="9:10" x14ac:dyDescent="0.25">
      <c r="I11563" s="199"/>
      <c r="J11563" s="199"/>
    </row>
    <row r="11564" spans="9:10" x14ac:dyDescent="0.25">
      <c r="I11564" s="199"/>
      <c r="J11564" s="199"/>
    </row>
    <row r="11565" spans="9:10" x14ac:dyDescent="0.25">
      <c r="I11565" s="199"/>
      <c r="J11565" s="199"/>
    </row>
    <row r="11566" spans="9:10" x14ac:dyDescent="0.25">
      <c r="I11566" s="199"/>
      <c r="J11566" s="199"/>
    </row>
    <row r="11567" spans="9:10" x14ac:dyDescent="0.25">
      <c r="I11567" s="199"/>
      <c r="J11567" s="199"/>
    </row>
    <row r="11568" spans="9:10" x14ac:dyDescent="0.25">
      <c r="I11568" s="199"/>
      <c r="J11568" s="199"/>
    </row>
    <row r="11569" spans="9:10" x14ac:dyDescent="0.25">
      <c r="I11569" s="199"/>
      <c r="J11569" s="199"/>
    </row>
    <row r="11570" spans="9:10" x14ac:dyDescent="0.25">
      <c r="I11570" s="199"/>
      <c r="J11570" s="199"/>
    </row>
    <row r="11571" spans="9:10" x14ac:dyDescent="0.25">
      <c r="I11571" s="199"/>
      <c r="J11571" s="199"/>
    </row>
    <row r="11572" spans="9:10" x14ac:dyDescent="0.25">
      <c r="I11572" s="199"/>
      <c r="J11572" s="199"/>
    </row>
    <row r="11573" spans="9:10" x14ac:dyDescent="0.25">
      <c r="I11573" s="199"/>
      <c r="J11573" s="199"/>
    </row>
    <row r="11574" spans="9:10" x14ac:dyDescent="0.25">
      <c r="I11574" s="199"/>
      <c r="J11574" s="199"/>
    </row>
    <row r="11575" spans="9:10" x14ac:dyDescent="0.25">
      <c r="I11575" s="199"/>
      <c r="J11575" s="199"/>
    </row>
    <row r="11576" spans="9:10" x14ac:dyDescent="0.25">
      <c r="I11576" s="199"/>
      <c r="J11576" s="199"/>
    </row>
    <row r="11577" spans="9:10" x14ac:dyDescent="0.25">
      <c r="I11577" s="199"/>
      <c r="J11577" s="199"/>
    </row>
    <row r="11578" spans="9:10" x14ac:dyDescent="0.25">
      <c r="I11578" s="199"/>
      <c r="J11578" s="199"/>
    </row>
    <row r="11579" spans="9:10" x14ac:dyDescent="0.25">
      <c r="I11579" s="199"/>
      <c r="J11579" s="199"/>
    </row>
    <row r="11580" spans="9:10" x14ac:dyDescent="0.25">
      <c r="I11580" s="199"/>
      <c r="J11580" s="199"/>
    </row>
    <row r="11581" spans="9:10" x14ac:dyDescent="0.25">
      <c r="I11581" s="199"/>
      <c r="J11581" s="199"/>
    </row>
    <row r="11582" spans="9:10" x14ac:dyDescent="0.25">
      <c r="I11582" s="199"/>
      <c r="J11582" s="199"/>
    </row>
    <row r="11583" spans="9:10" x14ac:dyDescent="0.25">
      <c r="I11583" s="199"/>
      <c r="J11583" s="199"/>
    </row>
    <row r="11584" spans="9:10" x14ac:dyDescent="0.25">
      <c r="I11584" s="199"/>
      <c r="J11584" s="199"/>
    </row>
    <row r="11585" spans="9:10" x14ac:dyDescent="0.25">
      <c r="I11585" s="199"/>
      <c r="J11585" s="199"/>
    </row>
    <row r="11586" spans="9:10" x14ac:dyDescent="0.25">
      <c r="I11586" s="199"/>
      <c r="J11586" s="199"/>
    </row>
    <row r="11587" spans="9:10" x14ac:dyDescent="0.25">
      <c r="I11587" s="199"/>
      <c r="J11587" s="199"/>
    </row>
    <row r="11588" spans="9:10" x14ac:dyDescent="0.25">
      <c r="I11588" s="199"/>
      <c r="J11588" s="199"/>
    </row>
    <row r="11589" spans="9:10" x14ac:dyDescent="0.25">
      <c r="I11589" s="199"/>
      <c r="J11589" s="199"/>
    </row>
    <row r="11590" spans="9:10" x14ac:dyDescent="0.25">
      <c r="I11590" s="199"/>
      <c r="J11590" s="199"/>
    </row>
    <row r="11591" spans="9:10" x14ac:dyDescent="0.25">
      <c r="I11591" s="199"/>
      <c r="J11591" s="199"/>
    </row>
    <row r="11592" spans="9:10" x14ac:dyDescent="0.25">
      <c r="I11592" s="199"/>
      <c r="J11592" s="199"/>
    </row>
    <row r="11593" spans="9:10" x14ac:dyDescent="0.25">
      <c r="I11593" s="199"/>
      <c r="J11593" s="199"/>
    </row>
    <row r="11594" spans="9:10" x14ac:dyDescent="0.25">
      <c r="I11594" s="199"/>
      <c r="J11594" s="199"/>
    </row>
    <row r="11595" spans="9:10" x14ac:dyDescent="0.25">
      <c r="I11595" s="199"/>
      <c r="J11595" s="199"/>
    </row>
    <row r="11596" spans="9:10" x14ac:dyDescent="0.25">
      <c r="I11596" s="199"/>
      <c r="J11596" s="199"/>
    </row>
    <row r="11597" spans="9:10" x14ac:dyDescent="0.25">
      <c r="I11597" s="199"/>
      <c r="J11597" s="199"/>
    </row>
    <row r="11598" spans="9:10" x14ac:dyDescent="0.25">
      <c r="I11598" s="199"/>
      <c r="J11598" s="199"/>
    </row>
    <row r="11599" spans="9:10" x14ac:dyDescent="0.25">
      <c r="I11599" s="199"/>
      <c r="J11599" s="199"/>
    </row>
    <row r="11600" spans="9:10" x14ac:dyDescent="0.25">
      <c r="I11600" s="199"/>
      <c r="J11600" s="199"/>
    </row>
    <row r="11601" spans="9:10" x14ac:dyDescent="0.25">
      <c r="I11601" s="199"/>
      <c r="J11601" s="199"/>
    </row>
    <row r="11602" spans="9:10" x14ac:dyDescent="0.25">
      <c r="I11602" s="199"/>
      <c r="J11602" s="199"/>
    </row>
    <row r="11603" spans="9:10" x14ac:dyDescent="0.25">
      <c r="I11603" s="199"/>
      <c r="J11603" s="199"/>
    </row>
    <row r="11604" spans="9:10" x14ac:dyDescent="0.25">
      <c r="I11604" s="199"/>
      <c r="J11604" s="199"/>
    </row>
    <row r="11605" spans="9:10" x14ac:dyDescent="0.25">
      <c r="I11605" s="199"/>
      <c r="J11605" s="199"/>
    </row>
    <row r="11606" spans="9:10" x14ac:dyDescent="0.25">
      <c r="I11606" s="199"/>
      <c r="J11606" s="199"/>
    </row>
    <row r="11607" spans="9:10" x14ac:dyDescent="0.25">
      <c r="I11607" s="199"/>
      <c r="J11607" s="199"/>
    </row>
    <row r="11608" spans="9:10" x14ac:dyDescent="0.25">
      <c r="I11608" s="199"/>
      <c r="J11608" s="199"/>
    </row>
    <row r="11609" spans="9:10" x14ac:dyDescent="0.25">
      <c r="I11609" s="199"/>
      <c r="J11609" s="199"/>
    </row>
    <row r="11610" spans="9:10" x14ac:dyDescent="0.25">
      <c r="I11610" s="199"/>
      <c r="J11610" s="199"/>
    </row>
    <row r="11611" spans="9:10" x14ac:dyDescent="0.25">
      <c r="I11611" s="199"/>
      <c r="J11611" s="199"/>
    </row>
    <row r="11612" spans="9:10" x14ac:dyDescent="0.25">
      <c r="I11612" s="199"/>
      <c r="J11612" s="199"/>
    </row>
    <row r="11613" spans="9:10" x14ac:dyDescent="0.25">
      <c r="I11613" s="199"/>
      <c r="J11613" s="199"/>
    </row>
    <row r="11614" spans="9:10" x14ac:dyDescent="0.25">
      <c r="I11614" s="199"/>
      <c r="J11614" s="199"/>
    </row>
    <row r="11615" spans="9:10" x14ac:dyDescent="0.25">
      <c r="I11615" s="199"/>
      <c r="J11615" s="199"/>
    </row>
    <row r="11616" spans="9:10" x14ac:dyDescent="0.25">
      <c r="I11616" s="199"/>
      <c r="J11616" s="199"/>
    </row>
    <row r="11617" spans="9:10" x14ac:dyDescent="0.25">
      <c r="I11617" s="199"/>
      <c r="J11617" s="199"/>
    </row>
    <row r="11618" spans="9:10" x14ac:dyDescent="0.25">
      <c r="I11618" s="199"/>
      <c r="J11618" s="199"/>
    </row>
    <row r="11619" spans="9:10" x14ac:dyDescent="0.25">
      <c r="I11619" s="199"/>
      <c r="J11619" s="199"/>
    </row>
    <row r="11620" spans="9:10" x14ac:dyDescent="0.25">
      <c r="I11620" s="199"/>
      <c r="J11620" s="199"/>
    </row>
    <row r="11621" spans="9:10" x14ac:dyDescent="0.25">
      <c r="I11621" s="199"/>
      <c r="J11621" s="199"/>
    </row>
    <row r="11622" spans="9:10" x14ac:dyDescent="0.25">
      <c r="I11622" s="199"/>
      <c r="J11622" s="199"/>
    </row>
    <row r="11623" spans="9:10" x14ac:dyDescent="0.25">
      <c r="I11623" s="199"/>
      <c r="J11623" s="199"/>
    </row>
    <row r="11624" spans="9:10" x14ac:dyDescent="0.25">
      <c r="I11624" s="199"/>
      <c r="J11624" s="199"/>
    </row>
    <row r="11625" spans="9:10" x14ac:dyDescent="0.25">
      <c r="I11625" s="199"/>
      <c r="J11625" s="199"/>
    </row>
    <row r="11626" spans="9:10" x14ac:dyDescent="0.25">
      <c r="I11626" s="199"/>
      <c r="J11626" s="199"/>
    </row>
    <row r="11627" spans="9:10" x14ac:dyDescent="0.25">
      <c r="I11627" s="199"/>
      <c r="J11627" s="199"/>
    </row>
    <row r="11628" spans="9:10" x14ac:dyDescent="0.25">
      <c r="I11628" s="199"/>
      <c r="J11628" s="199"/>
    </row>
    <row r="11629" spans="9:10" x14ac:dyDescent="0.25">
      <c r="I11629" s="199"/>
      <c r="J11629" s="199"/>
    </row>
    <row r="11630" spans="9:10" x14ac:dyDescent="0.25">
      <c r="I11630" s="199"/>
      <c r="J11630" s="199"/>
    </row>
    <row r="11631" spans="9:10" x14ac:dyDescent="0.25">
      <c r="I11631" s="199"/>
      <c r="J11631" s="199"/>
    </row>
    <row r="11632" spans="9:10" x14ac:dyDescent="0.25">
      <c r="I11632" s="199"/>
      <c r="J11632" s="199"/>
    </row>
    <row r="11633" spans="9:10" x14ac:dyDescent="0.25">
      <c r="I11633" s="199"/>
      <c r="J11633" s="199"/>
    </row>
    <row r="11634" spans="9:10" x14ac:dyDescent="0.25">
      <c r="I11634" s="199"/>
      <c r="J11634" s="199"/>
    </row>
    <row r="11635" spans="9:10" x14ac:dyDescent="0.25">
      <c r="I11635" s="199"/>
      <c r="J11635" s="199"/>
    </row>
    <row r="11636" spans="9:10" x14ac:dyDescent="0.25">
      <c r="I11636" s="199"/>
      <c r="J11636" s="199"/>
    </row>
    <row r="11637" spans="9:10" x14ac:dyDescent="0.25">
      <c r="I11637" s="199"/>
      <c r="J11637" s="199"/>
    </row>
    <row r="11638" spans="9:10" x14ac:dyDescent="0.25">
      <c r="I11638" s="199"/>
      <c r="J11638" s="199"/>
    </row>
    <row r="11639" spans="9:10" x14ac:dyDescent="0.25">
      <c r="I11639" s="199"/>
      <c r="J11639" s="199"/>
    </row>
    <row r="11640" spans="9:10" x14ac:dyDescent="0.25">
      <c r="I11640" s="199"/>
      <c r="J11640" s="199"/>
    </row>
    <row r="11641" spans="9:10" x14ac:dyDescent="0.25">
      <c r="I11641" s="199"/>
      <c r="J11641" s="199"/>
    </row>
    <row r="11642" spans="9:10" x14ac:dyDescent="0.25">
      <c r="I11642" s="199"/>
      <c r="J11642" s="199"/>
    </row>
    <row r="11643" spans="9:10" x14ac:dyDescent="0.25">
      <c r="I11643" s="199"/>
      <c r="J11643" s="199"/>
    </row>
    <row r="11644" spans="9:10" x14ac:dyDescent="0.25">
      <c r="I11644" s="199"/>
      <c r="J11644" s="199"/>
    </row>
    <row r="11645" spans="9:10" x14ac:dyDescent="0.25">
      <c r="I11645" s="199"/>
      <c r="J11645" s="199"/>
    </row>
    <row r="11646" spans="9:10" x14ac:dyDescent="0.25">
      <c r="I11646" s="199"/>
      <c r="J11646" s="199"/>
    </row>
    <row r="11647" spans="9:10" x14ac:dyDescent="0.25">
      <c r="I11647" s="199"/>
      <c r="J11647" s="199"/>
    </row>
    <row r="11648" spans="9:10" x14ac:dyDescent="0.25">
      <c r="I11648" s="199"/>
      <c r="J11648" s="199"/>
    </row>
    <row r="11649" spans="9:10" x14ac:dyDescent="0.25">
      <c r="I11649" s="199"/>
      <c r="J11649" s="199"/>
    </row>
    <row r="11650" spans="9:10" x14ac:dyDescent="0.25">
      <c r="I11650" s="199"/>
      <c r="J11650" s="199"/>
    </row>
    <row r="11651" spans="9:10" x14ac:dyDescent="0.25">
      <c r="I11651" s="199"/>
      <c r="J11651" s="199"/>
    </row>
    <row r="11652" spans="9:10" x14ac:dyDescent="0.25">
      <c r="I11652" s="199"/>
      <c r="J11652" s="199"/>
    </row>
    <row r="11653" spans="9:10" x14ac:dyDescent="0.25">
      <c r="I11653" s="199"/>
      <c r="J11653" s="199"/>
    </row>
    <row r="11654" spans="9:10" x14ac:dyDescent="0.25">
      <c r="I11654" s="199"/>
      <c r="J11654" s="199"/>
    </row>
    <row r="11655" spans="9:10" x14ac:dyDescent="0.25">
      <c r="I11655" s="199"/>
      <c r="J11655" s="199"/>
    </row>
    <row r="11656" spans="9:10" x14ac:dyDescent="0.25">
      <c r="I11656" s="199"/>
      <c r="J11656" s="199"/>
    </row>
    <row r="11657" spans="9:10" x14ac:dyDescent="0.25">
      <c r="I11657" s="199"/>
      <c r="J11657" s="199"/>
    </row>
    <row r="11658" spans="9:10" x14ac:dyDescent="0.25">
      <c r="I11658" s="199"/>
      <c r="J11658" s="199"/>
    </row>
    <row r="11659" spans="9:10" x14ac:dyDescent="0.25">
      <c r="I11659" s="199"/>
      <c r="J11659" s="199"/>
    </row>
    <row r="11660" spans="9:10" x14ac:dyDescent="0.25">
      <c r="I11660" s="199"/>
      <c r="J11660" s="199"/>
    </row>
    <row r="11661" spans="9:10" x14ac:dyDescent="0.25">
      <c r="I11661" s="199"/>
      <c r="J11661" s="199"/>
    </row>
    <row r="11662" spans="9:10" x14ac:dyDescent="0.25">
      <c r="I11662" s="199"/>
      <c r="J11662" s="199"/>
    </row>
    <row r="11663" spans="9:10" x14ac:dyDescent="0.25">
      <c r="I11663" s="199"/>
      <c r="J11663" s="199"/>
    </row>
    <row r="11664" spans="9:10" x14ac:dyDescent="0.25">
      <c r="I11664" s="199"/>
      <c r="J11664" s="199"/>
    </row>
    <row r="11665" spans="9:10" x14ac:dyDescent="0.25">
      <c r="I11665" s="199"/>
      <c r="J11665" s="199"/>
    </row>
    <row r="11666" spans="9:10" x14ac:dyDescent="0.25">
      <c r="I11666" s="199"/>
      <c r="J11666" s="199"/>
    </row>
    <row r="11667" spans="9:10" x14ac:dyDescent="0.25">
      <c r="I11667" s="199"/>
      <c r="J11667" s="199"/>
    </row>
    <row r="11668" spans="9:10" x14ac:dyDescent="0.25">
      <c r="I11668" s="199"/>
      <c r="J11668" s="199"/>
    </row>
    <row r="11669" spans="9:10" x14ac:dyDescent="0.25">
      <c r="I11669" s="199"/>
      <c r="J11669" s="199"/>
    </row>
    <row r="11670" spans="9:10" x14ac:dyDescent="0.25">
      <c r="I11670" s="199"/>
      <c r="J11670" s="199"/>
    </row>
    <row r="11671" spans="9:10" x14ac:dyDescent="0.25">
      <c r="I11671" s="199"/>
      <c r="J11671" s="199"/>
    </row>
    <row r="11672" spans="9:10" x14ac:dyDescent="0.25">
      <c r="I11672" s="199"/>
      <c r="J11672" s="199"/>
    </row>
    <row r="11673" spans="9:10" x14ac:dyDescent="0.25">
      <c r="I11673" s="199"/>
      <c r="J11673" s="199"/>
    </row>
    <row r="11674" spans="9:10" x14ac:dyDescent="0.25">
      <c r="I11674" s="199"/>
      <c r="J11674" s="199"/>
    </row>
    <row r="11675" spans="9:10" x14ac:dyDescent="0.25">
      <c r="I11675" s="199"/>
      <c r="J11675" s="199"/>
    </row>
    <row r="11676" spans="9:10" x14ac:dyDescent="0.25">
      <c r="I11676" s="199"/>
      <c r="J11676" s="199"/>
    </row>
    <row r="11677" spans="9:10" x14ac:dyDescent="0.25">
      <c r="I11677" s="199"/>
      <c r="J11677" s="199"/>
    </row>
    <row r="11678" spans="9:10" x14ac:dyDescent="0.25">
      <c r="I11678" s="199"/>
      <c r="J11678" s="199"/>
    </row>
    <row r="11679" spans="9:10" x14ac:dyDescent="0.25">
      <c r="I11679" s="199"/>
      <c r="J11679" s="199"/>
    </row>
    <row r="11680" spans="9:10" x14ac:dyDescent="0.25">
      <c r="I11680" s="199"/>
      <c r="J11680" s="199"/>
    </row>
    <row r="11681" spans="9:10" x14ac:dyDescent="0.25">
      <c r="I11681" s="199"/>
      <c r="J11681" s="199"/>
    </row>
    <row r="11682" spans="9:10" x14ac:dyDescent="0.25">
      <c r="I11682" s="199"/>
      <c r="J11682" s="199"/>
    </row>
    <row r="11683" spans="9:10" x14ac:dyDescent="0.25">
      <c r="I11683" s="199"/>
      <c r="J11683" s="199"/>
    </row>
    <row r="11684" spans="9:10" x14ac:dyDescent="0.25">
      <c r="I11684" s="199"/>
      <c r="J11684" s="199"/>
    </row>
    <row r="11685" spans="9:10" x14ac:dyDescent="0.25">
      <c r="I11685" s="199"/>
      <c r="J11685" s="199"/>
    </row>
    <row r="11686" spans="9:10" x14ac:dyDescent="0.25">
      <c r="I11686" s="199"/>
      <c r="J11686" s="199"/>
    </row>
    <row r="11687" spans="9:10" x14ac:dyDescent="0.25">
      <c r="I11687" s="199"/>
      <c r="J11687" s="199"/>
    </row>
    <row r="11688" spans="9:10" x14ac:dyDescent="0.25">
      <c r="I11688" s="199"/>
      <c r="J11688" s="199"/>
    </row>
    <row r="11689" spans="9:10" x14ac:dyDescent="0.25">
      <c r="I11689" s="199"/>
      <c r="J11689" s="199"/>
    </row>
    <row r="11690" spans="9:10" x14ac:dyDescent="0.25">
      <c r="I11690" s="199"/>
      <c r="J11690" s="199"/>
    </row>
    <row r="11691" spans="9:10" x14ac:dyDescent="0.25">
      <c r="I11691" s="199"/>
      <c r="J11691" s="199"/>
    </row>
    <row r="11692" spans="9:10" x14ac:dyDescent="0.25">
      <c r="I11692" s="199"/>
      <c r="J11692" s="199"/>
    </row>
    <row r="11693" spans="9:10" x14ac:dyDescent="0.25">
      <c r="I11693" s="199"/>
      <c r="J11693" s="199"/>
    </row>
    <row r="11694" spans="9:10" x14ac:dyDescent="0.25">
      <c r="I11694" s="199"/>
      <c r="J11694" s="199"/>
    </row>
    <row r="11695" spans="9:10" x14ac:dyDescent="0.25">
      <c r="I11695" s="199"/>
      <c r="J11695" s="199"/>
    </row>
    <row r="11696" spans="9:10" x14ac:dyDescent="0.25">
      <c r="I11696" s="199"/>
      <c r="J11696" s="199"/>
    </row>
    <row r="11697" spans="9:10" x14ac:dyDescent="0.25">
      <c r="I11697" s="199"/>
      <c r="J11697" s="199"/>
    </row>
    <row r="11698" spans="9:10" x14ac:dyDescent="0.25">
      <c r="I11698" s="199"/>
      <c r="J11698" s="199"/>
    </row>
    <row r="11699" spans="9:10" x14ac:dyDescent="0.25">
      <c r="I11699" s="199"/>
      <c r="J11699" s="199"/>
    </row>
    <row r="11700" spans="9:10" x14ac:dyDescent="0.25">
      <c r="I11700" s="199"/>
      <c r="J11700" s="199"/>
    </row>
    <row r="11701" spans="9:10" x14ac:dyDescent="0.25">
      <c r="I11701" s="199"/>
      <c r="J11701" s="199"/>
    </row>
    <row r="11702" spans="9:10" x14ac:dyDescent="0.25">
      <c r="I11702" s="199"/>
      <c r="J11702" s="199"/>
    </row>
    <row r="11703" spans="9:10" x14ac:dyDescent="0.25">
      <c r="I11703" s="199"/>
      <c r="J11703" s="199"/>
    </row>
    <row r="11704" spans="9:10" x14ac:dyDescent="0.25">
      <c r="I11704" s="199"/>
      <c r="J11704" s="199"/>
    </row>
    <row r="11705" spans="9:10" x14ac:dyDescent="0.25">
      <c r="I11705" s="199"/>
      <c r="J11705" s="199"/>
    </row>
    <row r="11706" spans="9:10" x14ac:dyDescent="0.25">
      <c r="I11706" s="199"/>
      <c r="J11706" s="199"/>
    </row>
    <row r="11707" spans="9:10" x14ac:dyDescent="0.25">
      <c r="I11707" s="199"/>
      <c r="J11707" s="199"/>
    </row>
    <row r="11708" spans="9:10" x14ac:dyDescent="0.25">
      <c r="I11708" s="199"/>
      <c r="J11708" s="199"/>
    </row>
    <row r="11709" spans="9:10" x14ac:dyDescent="0.25">
      <c r="I11709" s="199"/>
      <c r="J11709" s="199"/>
    </row>
    <row r="11710" spans="9:10" x14ac:dyDescent="0.25">
      <c r="I11710" s="199"/>
      <c r="J11710" s="199"/>
    </row>
    <row r="11711" spans="9:10" x14ac:dyDescent="0.25">
      <c r="I11711" s="199"/>
      <c r="J11711" s="199"/>
    </row>
    <row r="11712" spans="9:10" x14ac:dyDescent="0.25">
      <c r="I11712" s="199"/>
      <c r="J11712" s="199"/>
    </row>
    <row r="11713" spans="9:10" x14ac:dyDescent="0.25">
      <c r="I11713" s="199"/>
      <c r="J11713" s="199"/>
    </row>
    <row r="11714" spans="9:10" x14ac:dyDescent="0.25">
      <c r="I11714" s="199"/>
      <c r="J11714" s="199"/>
    </row>
    <row r="11715" spans="9:10" x14ac:dyDescent="0.25">
      <c r="I11715" s="199"/>
      <c r="J11715" s="199"/>
    </row>
    <row r="11716" spans="9:10" x14ac:dyDescent="0.25">
      <c r="I11716" s="199"/>
      <c r="J11716" s="199"/>
    </row>
    <row r="11717" spans="9:10" x14ac:dyDescent="0.25">
      <c r="I11717" s="199"/>
      <c r="J11717" s="199"/>
    </row>
    <row r="11718" spans="9:10" x14ac:dyDescent="0.25">
      <c r="I11718" s="199"/>
      <c r="J11718" s="199"/>
    </row>
    <row r="11719" spans="9:10" x14ac:dyDescent="0.25">
      <c r="I11719" s="199"/>
      <c r="J11719" s="199"/>
    </row>
    <row r="11720" spans="9:10" x14ac:dyDescent="0.25">
      <c r="I11720" s="199"/>
      <c r="J11720" s="199"/>
    </row>
    <row r="11721" spans="9:10" x14ac:dyDescent="0.25">
      <c r="I11721" s="199"/>
      <c r="J11721" s="199"/>
    </row>
    <row r="11722" spans="9:10" x14ac:dyDescent="0.25">
      <c r="I11722" s="199"/>
      <c r="J11722" s="199"/>
    </row>
    <row r="11723" spans="9:10" x14ac:dyDescent="0.25">
      <c r="I11723" s="199"/>
      <c r="J11723" s="199"/>
    </row>
    <row r="11724" spans="9:10" x14ac:dyDescent="0.25">
      <c r="I11724" s="199"/>
      <c r="J11724" s="199"/>
    </row>
    <row r="11725" spans="9:10" x14ac:dyDescent="0.25">
      <c r="I11725" s="199"/>
      <c r="J11725" s="199"/>
    </row>
    <row r="11726" spans="9:10" x14ac:dyDescent="0.25">
      <c r="I11726" s="199"/>
      <c r="J11726" s="199"/>
    </row>
    <row r="11727" spans="9:10" x14ac:dyDescent="0.25">
      <c r="I11727" s="199"/>
      <c r="J11727" s="199"/>
    </row>
    <row r="11728" spans="9:10" x14ac:dyDescent="0.25">
      <c r="I11728" s="199"/>
      <c r="J11728" s="199"/>
    </row>
    <row r="11729" spans="9:10" x14ac:dyDescent="0.25">
      <c r="I11729" s="199"/>
      <c r="J11729" s="199"/>
    </row>
    <row r="11730" spans="9:10" x14ac:dyDescent="0.25">
      <c r="I11730" s="199"/>
      <c r="J11730" s="199"/>
    </row>
    <row r="11731" spans="9:10" x14ac:dyDescent="0.25">
      <c r="I11731" s="199"/>
      <c r="J11731" s="199"/>
    </row>
    <row r="11732" spans="9:10" x14ac:dyDescent="0.25">
      <c r="I11732" s="199"/>
      <c r="J11732" s="199"/>
    </row>
    <row r="11733" spans="9:10" x14ac:dyDescent="0.25">
      <c r="I11733" s="199"/>
      <c r="J11733" s="199"/>
    </row>
    <row r="11734" spans="9:10" x14ac:dyDescent="0.25">
      <c r="I11734" s="199"/>
      <c r="J11734" s="199"/>
    </row>
    <row r="11735" spans="9:10" x14ac:dyDescent="0.25">
      <c r="I11735" s="199"/>
      <c r="J11735" s="199"/>
    </row>
    <row r="11736" spans="9:10" x14ac:dyDescent="0.25">
      <c r="I11736" s="199"/>
      <c r="J11736" s="199"/>
    </row>
    <row r="11737" spans="9:10" x14ac:dyDescent="0.25">
      <c r="I11737" s="199"/>
      <c r="J11737" s="199"/>
    </row>
    <row r="11738" spans="9:10" x14ac:dyDescent="0.25">
      <c r="I11738" s="199"/>
      <c r="J11738" s="199"/>
    </row>
    <row r="11739" spans="9:10" x14ac:dyDescent="0.25">
      <c r="I11739" s="199"/>
      <c r="J11739" s="199"/>
    </row>
    <row r="11740" spans="9:10" x14ac:dyDescent="0.25">
      <c r="I11740" s="199"/>
      <c r="J11740" s="199"/>
    </row>
    <row r="11741" spans="9:10" x14ac:dyDescent="0.25">
      <c r="I11741" s="199"/>
      <c r="J11741" s="199"/>
    </row>
    <row r="11742" spans="9:10" x14ac:dyDescent="0.25">
      <c r="I11742" s="199"/>
      <c r="J11742" s="199"/>
    </row>
    <row r="11743" spans="9:10" x14ac:dyDescent="0.25">
      <c r="I11743" s="199"/>
      <c r="J11743" s="199"/>
    </row>
    <row r="11744" spans="9:10" x14ac:dyDescent="0.25">
      <c r="I11744" s="199"/>
      <c r="J11744" s="199"/>
    </row>
    <row r="11745" spans="9:10" x14ac:dyDescent="0.25">
      <c r="I11745" s="199"/>
      <c r="J11745" s="199"/>
    </row>
    <row r="11746" spans="9:10" x14ac:dyDescent="0.25">
      <c r="I11746" s="199"/>
      <c r="J11746" s="199"/>
    </row>
    <row r="11747" spans="9:10" x14ac:dyDescent="0.25">
      <c r="I11747" s="199"/>
      <c r="J11747" s="199"/>
    </row>
    <row r="11748" spans="9:10" x14ac:dyDescent="0.25">
      <c r="I11748" s="199"/>
      <c r="J11748" s="199"/>
    </row>
    <row r="11749" spans="9:10" x14ac:dyDescent="0.25">
      <c r="I11749" s="199"/>
      <c r="J11749" s="199"/>
    </row>
    <row r="11750" spans="9:10" x14ac:dyDescent="0.25">
      <c r="I11750" s="199"/>
      <c r="J11750" s="199"/>
    </row>
    <row r="11751" spans="9:10" x14ac:dyDescent="0.25">
      <c r="I11751" s="199"/>
      <c r="J11751" s="199"/>
    </row>
    <row r="11752" spans="9:10" x14ac:dyDescent="0.25">
      <c r="I11752" s="199"/>
      <c r="J11752" s="199"/>
    </row>
    <row r="11753" spans="9:10" x14ac:dyDescent="0.25">
      <c r="I11753" s="199"/>
      <c r="J11753" s="199"/>
    </row>
    <row r="11754" spans="9:10" x14ac:dyDescent="0.25">
      <c r="I11754" s="199"/>
      <c r="J11754" s="199"/>
    </row>
    <row r="11755" spans="9:10" x14ac:dyDescent="0.25">
      <c r="I11755" s="199"/>
      <c r="J11755" s="199"/>
    </row>
    <row r="11756" spans="9:10" x14ac:dyDescent="0.25">
      <c r="I11756" s="199"/>
      <c r="J11756" s="199"/>
    </row>
    <row r="11757" spans="9:10" x14ac:dyDescent="0.25">
      <c r="I11757" s="199"/>
      <c r="J11757" s="199"/>
    </row>
    <row r="11758" spans="9:10" x14ac:dyDescent="0.25">
      <c r="I11758" s="199"/>
      <c r="J11758" s="199"/>
    </row>
    <row r="11759" spans="9:10" x14ac:dyDescent="0.25">
      <c r="I11759" s="199"/>
      <c r="J11759" s="199"/>
    </row>
    <row r="11760" spans="9:10" x14ac:dyDescent="0.25">
      <c r="I11760" s="199"/>
      <c r="J11760" s="199"/>
    </row>
    <row r="11761" spans="9:10" x14ac:dyDescent="0.25">
      <c r="I11761" s="199"/>
      <c r="J11761" s="199"/>
    </row>
    <row r="11762" spans="9:10" x14ac:dyDescent="0.25">
      <c r="I11762" s="199"/>
      <c r="J11762" s="199"/>
    </row>
    <row r="11763" spans="9:10" x14ac:dyDescent="0.25">
      <c r="I11763" s="199"/>
      <c r="J11763" s="199"/>
    </row>
    <row r="11764" spans="9:10" x14ac:dyDescent="0.25">
      <c r="I11764" s="199"/>
      <c r="J11764" s="199"/>
    </row>
    <row r="11765" spans="9:10" x14ac:dyDescent="0.25">
      <c r="I11765" s="199"/>
      <c r="J11765" s="199"/>
    </row>
    <row r="11766" spans="9:10" x14ac:dyDescent="0.25">
      <c r="I11766" s="199"/>
      <c r="J11766" s="199"/>
    </row>
    <row r="11767" spans="9:10" x14ac:dyDescent="0.25">
      <c r="I11767" s="199"/>
      <c r="J11767" s="199"/>
    </row>
    <row r="11768" spans="9:10" x14ac:dyDescent="0.25">
      <c r="I11768" s="199"/>
      <c r="J11768" s="199"/>
    </row>
    <row r="11769" spans="9:10" x14ac:dyDescent="0.25">
      <c r="I11769" s="199"/>
      <c r="J11769" s="199"/>
    </row>
    <row r="11770" spans="9:10" x14ac:dyDescent="0.25">
      <c r="I11770" s="199"/>
      <c r="J11770" s="199"/>
    </row>
    <row r="11771" spans="9:10" x14ac:dyDescent="0.25">
      <c r="I11771" s="199"/>
      <c r="J11771" s="199"/>
    </row>
    <row r="11772" spans="9:10" x14ac:dyDescent="0.25">
      <c r="I11772" s="199"/>
      <c r="J11772" s="199"/>
    </row>
    <row r="11773" spans="9:10" x14ac:dyDescent="0.25">
      <c r="I11773" s="199"/>
      <c r="J11773" s="199"/>
    </row>
    <row r="11774" spans="9:10" x14ac:dyDescent="0.25">
      <c r="I11774" s="199"/>
      <c r="J11774" s="199"/>
    </row>
    <row r="11775" spans="9:10" x14ac:dyDescent="0.25">
      <c r="I11775" s="199"/>
      <c r="J11775" s="199"/>
    </row>
    <row r="11776" spans="9:10" x14ac:dyDescent="0.25">
      <c r="I11776" s="199"/>
      <c r="J11776" s="199"/>
    </row>
    <row r="11777" spans="9:10" x14ac:dyDescent="0.25">
      <c r="I11777" s="199"/>
      <c r="J11777" s="199"/>
    </row>
    <row r="11778" spans="9:10" x14ac:dyDescent="0.25">
      <c r="I11778" s="199"/>
      <c r="J11778" s="199"/>
    </row>
    <row r="11779" spans="9:10" x14ac:dyDescent="0.25">
      <c r="I11779" s="199"/>
      <c r="J11779" s="199"/>
    </row>
    <row r="11780" spans="9:10" x14ac:dyDescent="0.25">
      <c r="I11780" s="199"/>
      <c r="J11780" s="199"/>
    </row>
    <row r="11781" spans="9:10" x14ac:dyDescent="0.25">
      <c r="I11781" s="199"/>
      <c r="J11781" s="199"/>
    </row>
    <row r="11782" spans="9:10" x14ac:dyDescent="0.25">
      <c r="I11782" s="199"/>
      <c r="J11782" s="199"/>
    </row>
    <row r="11783" spans="9:10" x14ac:dyDescent="0.25">
      <c r="I11783" s="199"/>
      <c r="J11783" s="199"/>
    </row>
    <row r="11784" spans="9:10" x14ac:dyDescent="0.25">
      <c r="I11784" s="199"/>
      <c r="J11784" s="199"/>
    </row>
    <row r="11785" spans="9:10" x14ac:dyDescent="0.25">
      <c r="I11785" s="199"/>
      <c r="J11785" s="199"/>
    </row>
    <row r="11786" spans="9:10" x14ac:dyDescent="0.25">
      <c r="I11786" s="199"/>
      <c r="J11786" s="199"/>
    </row>
    <row r="11787" spans="9:10" x14ac:dyDescent="0.25">
      <c r="I11787" s="199"/>
      <c r="J11787" s="199"/>
    </row>
    <row r="11788" spans="9:10" x14ac:dyDescent="0.25">
      <c r="I11788" s="199"/>
      <c r="J11788" s="199"/>
    </row>
    <row r="11789" spans="9:10" x14ac:dyDescent="0.25">
      <c r="I11789" s="199"/>
      <c r="J11789" s="199"/>
    </row>
    <row r="11790" spans="9:10" x14ac:dyDescent="0.25">
      <c r="I11790" s="199"/>
      <c r="J11790" s="199"/>
    </row>
    <row r="11791" spans="9:10" x14ac:dyDescent="0.25">
      <c r="I11791" s="199"/>
      <c r="J11791" s="199"/>
    </row>
    <row r="11792" spans="9:10" x14ac:dyDescent="0.25">
      <c r="I11792" s="199"/>
      <c r="J11792" s="199"/>
    </row>
    <row r="11793" spans="9:10" x14ac:dyDescent="0.25">
      <c r="I11793" s="199"/>
      <c r="J11793" s="199"/>
    </row>
    <row r="11794" spans="9:10" x14ac:dyDescent="0.25">
      <c r="I11794" s="199"/>
      <c r="J11794" s="199"/>
    </row>
    <row r="11795" spans="9:10" x14ac:dyDescent="0.25">
      <c r="I11795" s="199"/>
      <c r="J11795" s="199"/>
    </row>
    <row r="11796" spans="9:10" x14ac:dyDescent="0.25">
      <c r="I11796" s="199"/>
      <c r="J11796" s="199"/>
    </row>
    <row r="11797" spans="9:10" x14ac:dyDescent="0.25">
      <c r="I11797" s="199"/>
      <c r="J11797" s="199"/>
    </row>
    <row r="11798" spans="9:10" x14ac:dyDescent="0.25">
      <c r="I11798" s="199"/>
      <c r="J11798" s="199"/>
    </row>
    <row r="11799" spans="9:10" x14ac:dyDescent="0.25">
      <c r="I11799" s="199"/>
      <c r="J11799" s="199"/>
    </row>
    <row r="11800" spans="9:10" x14ac:dyDescent="0.25">
      <c r="I11800" s="199"/>
      <c r="J11800" s="199"/>
    </row>
    <row r="11801" spans="9:10" x14ac:dyDescent="0.25">
      <c r="I11801" s="199"/>
      <c r="J11801" s="199"/>
    </row>
    <row r="11802" spans="9:10" x14ac:dyDescent="0.25">
      <c r="I11802" s="199"/>
      <c r="J11802" s="199"/>
    </row>
    <row r="11803" spans="9:10" x14ac:dyDescent="0.25">
      <c r="I11803" s="199"/>
      <c r="J11803" s="199"/>
    </row>
    <row r="11804" spans="9:10" x14ac:dyDescent="0.25">
      <c r="I11804" s="199"/>
      <c r="J11804" s="199"/>
    </row>
    <row r="11805" spans="9:10" x14ac:dyDescent="0.25">
      <c r="I11805" s="199"/>
      <c r="J11805" s="199"/>
    </row>
    <row r="11806" spans="9:10" x14ac:dyDescent="0.25">
      <c r="I11806" s="199"/>
      <c r="J11806" s="199"/>
    </row>
    <row r="11807" spans="9:10" x14ac:dyDescent="0.25">
      <c r="I11807" s="199"/>
      <c r="J11807" s="199"/>
    </row>
    <row r="11808" spans="9:10" x14ac:dyDescent="0.25">
      <c r="I11808" s="199"/>
      <c r="J11808" s="199"/>
    </row>
    <row r="11809" spans="9:10" x14ac:dyDescent="0.25">
      <c r="I11809" s="199"/>
      <c r="J11809" s="199"/>
    </row>
    <row r="11810" spans="9:10" x14ac:dyDescent="0.25">
      <c r="I11810" s="199"/>
      <c r="J11810" s="199"/>
    </row>
    <row r="11811" spans="9:10" x14ac:dyDescent="0.25">
      <c r="I11811" s="199"/>
      <c r="J11811" s="199"/>
    </row>
    <row r="11812" spans="9:10" x14ac:dyDescent="0.25">
      <c r="I11812" s="199"/>
      <c r="J11812" s="199"/>
    </row>
    <row r="11813" spans="9:10" x14ac:dyDescent="0.25">
      <c r="I11813" s="199"/>
      <c r="J11813" s="199"/>
    </row>
    <row r="11814" spans="9:10" x14ac:dyDescent="0.25">
      <c r="I11814" s="199"/>
      <c r="J11814" s="199"/>
    </row>
    <row r="11815" spans="9:10" x14ac:dyDescent="0.25">
      <c r="I11815" s="199"/>
      <c r="J11815" s="199"/>
    </row>
    <row r="11816" spans="9:10" x14ac:dyDescent="0.25">
      <c r="I11816" s="199"/>
      <c r="J11816" s="199"/>
    </row>
    <row r="11817" spans="9:10" x14ac:dyDescent="0.25">
      <c r="I11817" s="199"/>
      <c r="J11817" s="199"/>
    </row>
    <row r="11818" spans="9:10" x14ac:dyDescent="0.25">
      <c r="I11818" s="199"/>
      <c r="J11818" s="199"/>
    </row>
    <row r="11819" spans="9:10" x14ac:dyDescent="0.25">
      <c r="I11819" s="199"/>
      <c r="J11819" s="199"/>
    </row>
    <row r="11820" spans="9:10" x14ac:dyDescent="0.25">
      <c r="I11820" s="199"/>
      <c r="J11820" s="199"/>
    </row>
    <row r="11821" spans="9:10" x14ac:dyDescent="0.25">
      <c r="I11821" s="199"/>
      <c r="J11821" s="199"/>
    </row>
    <row r="11822" spans="9:10" x14ac:dyDescent="0.25">
      <c r="I11822" s="199"/>
      <c r="J11822" s="199"/>
    </row>
    <row r="11823" spans="9:10" x14ac:dyDescent="0.25">
      <c r="I11823" s="199"/>
      <c r="J11823" s="199"/>
    </row>
    <row r="11824" spans="9:10" x14ac:dyDescent="0.25">
      <c r="I11824" s="199"/>
      <c r="J11824" s="199"/>
    </row>
    <row r="11825" spans="9:10" x14ac:dyDescent="0.25">
      <c r="I11825" s="199"/>
      <c r="J11825" s="199"/>
    </row>
    <row r="11826" spans="9:10" x14ac:dyDescent="0.25">
      <c r="I11826" s="199"/>
      <c r="J11826" s="199"/>
    </row>
    <row r="11827" spans="9:10" x14ac:dyDescent="0.25">
      <c r="I11827" s="199"/>
      <c r="J11827" s="199"/>
    </row>
    <row r="11828" spans="9:10" x14ac:dyDescent="0.25">
      <c r="I11828" s="199"/>
      <c r="J11828" s="199"/>
    </row>
    <row r="11829" spans="9:10" x14ac:dyDescent="0.25">
      <c r="I11829" s="199"/>
      <c r="J11829" s="199"/>
    </row>
    <row r="11830" spans="9:10" x14ac:dyDescent="0.25">
      <c r="I11830" s="199"/>
      <c r="J11830" s="199"/>
    </row>
    <row r="11831" spans="9:10" x14ac:dyDescent="0.25">
      <c r="I11831" s="199"/>
      <c r="J11831" s="199"/>
    </row>
    <row r="11832" spans="9:10" x14ac:dyDescent="0.25">
      <c r="I11832" s="199"/>
      <c r="J11832" s="199"/>
    </row>
    <row r="11833" spans="9:10" x14ac:dyDescent="0.25">
      <c r="I11833" s="199"/>
      <c r="J11833" s="199"/>
    </row>
    <row r="11834" spans="9:10" x14ac:dyDescent="0.25">
      <c r="I11834" s="199"/>
      <c r="J11834" s="199"/>
    </row>
    <row r="11835" spans="9:10" x14ac:dyDescent="0.25">
      <c r="I11835" s="199"/>
      <c r="J11835" s="199"/>
    </row>
    <row r="11836" spans="9:10" x14ac:dyDescent="0.25">
      <c r="I11836" s="199"/>
      <c r="J11836" s="199"/>
    </row>
    <row r="11837" spans="9:10" x14ac:dyDescent="0.25">
      <c r="I11837" s="199"/>
      <c r="J11837" s="199"/>
    </row>
    <row r="11838" spans="9:10" x14ac:dyDescent="0.25">
      <c r="I11838" s="199"/>
      <c r="J11838" s="199"/>
    </row>
    <row r="11839" spans="9:10" x14ac:dyDescent="0.25">
      <c r="I11839" s="199"/>
      <c r="J11839" s="199"/>
    </row>
    <row r="11840" spans="9:10" x14ac:dyDescent="0.25">
      <c r="I11840" s="199"/>
      <c r="J11840" s="199"/>
    </row>
    <row r="11841" spans="9:10" x14ac:dyDescent="0.25">
      <c r="I11841" s="199"/>
      <c r="J11841" s="199"/>
    </row>
    <row r="11842" spans="9:10" x14ac:dyDescent="0.25">
      <c r="I11842" s="199"/>
      <c r="J11842" s="199"/>
    </row>
    <row r="11843" spans="9:10" x14ac:dyDescent="0.25">
      <c r="I11843" s="199"/>
      <c r="J11843" s="199"/>
    </row>
    <row r="11844" spans="9:10" x14ac:dyDescent="0.25">
      <c r="I11844" s="199"/>
      <c r="J11844" s="199"/>
    </row>
    <row r="11845" spans="9:10" x14ac:dyDescent="0.25">
      <c r="I11845" s="199"/>
      <c r="J11845" s="199"/>
    </row>
    <row r="11846" spans="9:10" x14ac:dyDescent="0.25">
      <c r="I11846" s="199"/>
      <c r="J11846" s="199"/>
    </row>
    <row r="11847" spans="9:10" x14ac:dyDescent="0.25">
      <c r="I11847" s="199"/>
      <c r="J11847" s="199"/>
    </row>
    <row r="11848" spans="9:10" x14ac:dyDescent="0.25">
      <c r="I11848" s="199"/>
      <c r="J11848" s="199"/>
    </row>
    <row r="11849" spans="9:10" x14ac:dyDescent="0.25">
      <c r="I11849" s="199"/>
      <c r="J11849" s="199"/>
    </row>
    <row r="11850" spans="9:10" x14ac:dyDescent="0.25">
      <c r="I11850" s="199"/>
      <c r="J11850" s="199"/>
    </row>
    <row r="11851" spans="9:10" x14ac:dyDescent="0.25">
      <c r="I11851" s="199"/>
      <c r="J11851" s="199"/>
    </row>
    <row r="11852" spans="9:10" x14ac:dyDescent="0.25">
      <c r="I11852" s="199"/>
      <c r="J11852" s="199"/>
    </row>
    <row r="11853" spans="9:10" x14ac:dyDescent="0.25">
      <c r="I11853" s="199"/>
      <c r="J11853" s="199"/>
    </row>
    <row r="11854" spans="9:10" x14ac:dyDescent="0.25">
      <c r="I11854" s="199"/>
      <c r="J11854" s="199"/>
    </row>
    <row r="11855" spans="9:10" x14ac:dyDescent="0.25">
      <c r="I11855" s="199"/>
      <c r="J11855" s="199"/>
    </row>
    <row r="11856" spans="9:10" x14ac:dyDescent="0.25">
      <c r="I11856" s="199"/>
      <c r="J11856" s="199"/>
    </row>
    <row r="11857" spans="9:10" x14ac:dyDescent="0.25">
      <c r="I11857" s="199"/>
      <c r="J11857" s="199"/>
    </row>
    <row r="11858" spans="9:10" x14ac:dyDescent="0.25">
      <c r="I11858" s="199"/>
      <c r="J11858" s="199"/>
    </row>
    <row r="11859" spans="9:10" x14ac:dyDescent="0.25">
      <c r="I11859" s="199"/>
      <c r="J11859" s="199"/>
    </row>
    <row r="11860" spans="9:10" x14ac:dyDescent="0.25">
      <c r="I11860" s="199"/>
      <c r="J11860" s="199"/>
    </row>
    <row r="11861" spans="9:10" x14ac:dyDescent="0.25">
      <c r="I11861" s="199"/>
      <c r="J11861" s="199"/>
    </row>
    <row r="11862" spans="9:10" x14ac:dyDescent="0.25">
      <c r="I11862" s="199"/>
      <c r="J11862" s="199"/>
    </row>
    <row r="11863" spans="9:10" x14ac:dyDescent="0.25">
      <c r="I11863" s="199"/>
      <c r="J11863" s="199"/>
    </row>
    <row r="11864" spans="9:10" x14ac:dyDescent="0.25">
      <c r="I11864" s="199"/>
      <c r="J11864" s="199"/>
    </row>
    <row r="11865" spans="9:10" x14ac:dyDescent="0.25">
      <c r="I11865" s="199"/>
      <c r="J11865" s="199"/>
    </row>
    <row r="11866" spans="9:10" x14ac:dyDescent="0.25">
      <c r="I11866" s="199"/>
      <c r="J11866" s="199"/>
    </row>
    <row r="11867" spans="9:10" x14ac:dyDescent="0.25">
      <c r="I11867" s="199"/>
      <c r="J11867" s="199"/>
    </row>
    <row r="11868" spans="9:10" x14ac:dyDescent="0.25">
      <c r="I11868" s="199"/>
      <c r="J11868" s="199"/>
    </row>
    <row r="11869" spans="9:10" x14ac:dyDescent="0.25">
      <c r="I11869" s="199"/>
      <c r="J11869" s="199"/>
    </row>
    <row r="11870" spans="9:10" x14ac:dyDescent="0.25">
      <c r="I11870" s="199"/>
      <c r="J11870" s="199"/>
    </row>
    <row r="11871" spans="9:10" x14ac:dyDescent="0.25">
      <c r="I11871" s="199"/>
      <c r="J11871" s="199"/>
    </row>
    <row r="11872" spans="9:10" x14ac:dyDescent="0.25">
      <c r="I11872" s="199"/>
      <c r="J11872" s="199"/>
    </row>
    <row r="11873" spans="9:10" x14ac:dyDescent="0.25">
      <c r="I11873" s="199"/>
      <c r="J11873" s="199"/>
    </row>
    <row r="11874" spans="9:10" x14ac:dyDescent="0.25">
      <c r="I11874" s="199"/>
      <c r="J11874" s="199"/>
    </row>
    <row r="11875" spans="9:10" x14ac:dyDescent="0.25">
      <c r="I11875" s="199"/>
      <c r="J11875" s="199"/>
    </row>
    <row r="11876" spans="9:10" x14ac:dyDescent="0.25">
      <c r="I11876" s="199"/>
      <c r="J11876" s="199"/>
    </row>
    <row r="11877" spans="9:10" x14ac:dyDescent="0.25">
      <c r="I11877" s="199"/>
      <c r="J11877" s="199"/>
    </row>
    <row r="11878" spans="9:10" x14ac:dyDescent="0.25">
      <c r="I11878" s="199"/>
      <c r="J11878" s="199"/>
    </row>
    <row r="11879" spans="9:10" x14ac:dyDescent="0.25">
      <c r="I11879" s="199"/>
      <c r="J11879" s="199"/>
    </row>
    <row r="11880" spans="9:10" x14ac:dyDescent="0.25">
      <c r="I11880" s="199"/>
      <c r="J11880" s="199"/>
    </row>
    <row r="11881" spans="9:10" x14ac:dyDescent="0.25">
      <c r="I11881" s="199"/>
      <c r="J11881" s="199"/>
    </row>
    <row r="11882" spans="9:10" x14ac:dyDescent="0.25">
      <c r="I11882" s="199"/>
      <c r="J11882" s="199"/>
    </row>
    <row r="11883" spans="9:10" x14ac:dyDescent="0.25">
      <c r="I11883" s="199"/>
      <c r="J11883" s="199"/>
    </row>
    <row r="11884" spans="9:10" x14ac:dyDescent="0.25">
      <c r="I11884" s="199"/>
      <c r="J11884" s="199"/>
    </row>
    <row r="11885" spans="9:10" x14ac:dyDescent="0.25">
      <c r="I11885" s="199"/>
      <c r="J11885" s="199"/>
    </row>
    <row r="11886" spans="9:10" x14ac:dyDescent="0.25">
      <c r="I11886" s="199"/>
      <c r="J11886" s="199"/>
    </row>
    <row r="11887" spans="9:10" x14ac:dyDescent="0.25">
      <c r="I11887" s="199"/>
      <c r="J11887" s="199"/>
    </row>
    <row r="11888" spans="9:10" x14ac:dyDescent="0.25">
      <c r="I11888" s="199"/>
      <c r="J11888" s="199"/>
    </row>
    <row r="11889" spans="9:10" x14ac:dyDescent="0.25">
      <c r="I11889" s="199"/>
      <c r="J11889" s="199"/>
    </row>
    <row r="11890" spans="9:10" x14ac:dyDescent="0.25">
      <c r="I11890" s="199"/>
      <c r="J11890" s="199"/>
    </row>
    <row r="11891" spans="9:10" x14ac:dyDescent="0.25">
      <c r="I11891" s="199"/>
      <c r="J11891" s="199"/>
    </row>
    <row r="11892" spans="9:10" x14ac:dyDescent="0.25">
      <c r="I11892" s="199"/>
      <c r="J11892" s="199"/>
    </row>
    <row r="11893" spans="9:10" x14ac:dyDescent="0.25">
      <c r="I11893" s="199"/>
      <c r="J11893" s="199"/>
    </row>
    <row r="11894" spans="9:10" x14ac:dyDescent="0.25">
      <c r="I11894" s="199"/>
      <c r="J11894" s="199"/>
    </row>
    <row r="11895" spans="9:10" x14ac:dyDescent="0.25">
      <c r="I11895" s="199"/>
      <c r="J11895" s="199"/>
    </row>
    <row r="11896" spans="9:10" x14ac:dyDescent="0.25">
      <c r="I11896" s="199"/>
      <c r="J11896" s="199"/>
    </row>
    <row r="11897" spans="9:10" x14ac:dyDescent="0.25">
      <c r="I11897" s="199"/>
      <c r="J11897" s="199"/>
    </row>
    <row r="11898" spans="9:10" x14ac:dyDescent="0.25">
      <c r="I11898" s="199"/>
      <c r="J11898" s="199"/>
    </row>
    <row r="11899" spans="9:10" x14ac:dyDescent="0.25">
      <c r="I11899" s="199"/>
      <c r="J11899" s="199"/>
    </row>
    <row r="11900" spans="9:10" x14ac:dyDescent="0.25">
      <c r="I11900" s="199"/>
      <c r="J11900" s="199"/>
    </row>
    <row r="11901" spans="9:10" x14ac:dyDescent="0.25">
      <c r="I11901" s="199"/>
      <c r="J11901" s="199"/>
    </row>
    <row r="11902" spans="9:10" x14ac:dyDescent="0.25">
      <c r="I11902" s="199"/>
      <c r="J11902" s="199"/>
    </row>
    <row r="11903" spans="9:10" x14ac:dyDescent="0.25">
      <c r="I11903" s="199"/>
      <c r="J11903" s="199"/>
    </row>
    <row r="11904" spans="9:10" x14ac:dyDescent="0.25">
      <c r="I11904" s="199"/>
      <c r="J11904" s="199"/>
    </row>
    <row r="11905" spans="9:10" x14ac:dyDescent="0.25">
      <c r="I11905" s="199"/>
      <c r="J11905" s="199"/>
    </row>
    <row r="11906" spans="9:10" x14ac:dyDescent="0.25">
      <c r="I11906" s="199"/>
      <c r="J11906" s="199"/>
    </row>
    <row r="11907" spans="9:10" x14ac:dyDescent="0.25">
      <c r="I11907" s="199"/>
      <c r="J11907" s="199"/>
    </row>
    <row r="11908" spans="9:10" x14ac:dyDescent="0.25">
      <c r="I11908" s="199"/>
      <c r="J11908" s="199"/>
    </row>
    <row r="11909" spans="9:10" x14ac:dyDescent="0.25">
      <c r="I11909" s="199"/>
      <c r="J11909" s="199"/>
    </row>
    <row r="11910" spans="9:10" x14ac:dyDescent="0.25">
      <c r="I11910" s="199"/>
      <c r="J11910" s="199"/>
    </row>
    <row r="11911" spans="9:10" x14ac:dyDescent="0.25">
      <c r="I11911" s="199"/>
      <c r="J11911" s="199"/>
    </row>
    <row r="11912" spans="9:10" x14ac:dyDescent="0.25">
      <c r="I11912" s="199"/>
      <c r="J11912" s="199"/>
    </row>
    <row r="11913" spans="9:10" x14ac:dyDescent="0.25">
      <c r="I11913" s="199"/>
      <c r="J11913" s="199"/>
    </row>
    <row r="11914" spans="9:10" x14ac:dyDescent="0.25">
      <c r="I11914" s="199"/>
      <c r="J11914" s="199"/>
    </row>
    <row r="11915" spans="9:10" x14ac:dyDescent="0.25">
      <c r="I11915" s="199"/>
      <c r="J11915" s="199"/>
    </row>
    <row r="11916" spans="9:10" x14ac:dyDescent="0.25">
      <c r="I11916" s="199"/>
      <c r="J11916" s="199"/>
    </row>
    <row r="11917" spans="9:10" x14ac:dyDescent="0.25">
      <c r="I11917" s="199"/>
      <c r="J11917" s="199"/>
    </row>
    <row r="11918" spans="9:10" x14ac:dyDescent="0.25">
      <c r="I11918" s="199"/>
      <c r="J11918" s="199"/>
    </row>
    <row r="11919" spans="9:10" x14ac:dyDescent="0.25">
      <c r="I11919" s="199"/>
      <c r="J11919" s="199"/>
    </row>
    <row r="11920" spans="9:10" x14ac:dyDescent="0.25">
      <c r="I11920" s="199"/>
      <c r="J11920" s="199"/>
    </row>
    <row r="11921" spans="9:10" x14ac:dyDescent="0.25">
      <c r="I11921" s="199"/>
      <c r="J11921" s="199"/>
    </row>
    <row r="11922" spans="9:10" x14ac:dyDescent="0.25">
      <c r="I11922" s="199"/>
      <c r="J11922" s="199"/>
    </row>
    <row r="11923" spans="9:10" x14ac:dyDescent="0.25">
      <c r="I11923" s="199"/>
      <c r="J11923" s="199"/>
    </row>
    <row r="11924" spans="9:10" x14ac:dyDescent="0.25">
      <c r="I11924" s="199"/>
      <c r="J11924" s="199"/>
    </row>
    <row r="11925" spans="9:10" x14ac:dyDescent="0.25">
      <c r="I11925" s="199"/>
      <c r="J11925" s="199"/>
    </row>
    <row r="11926" spans="9:10" x14ac:dyDescent="0.25">
      <c r="I11926" s="199"/>
      <c r="J11926" s="199"/>
    </row>
    <row r="11927" spans="9:10" x14ac:dyDescent="0.25">
      <c r="I11927" s="199"/>
      <c r="J11927" s="199"/>
    </row>
    <row r="11928" spans="9:10" x14ac:dyDescent="0.25">
      <c r="I11928" s="199"/>
      <c r="J11928" s="199"/>
    </row>
    <row r="11929" spans="9:10" x14ac:dyDescent="0.25">
      <c r="I11929" s="199"/>
      <c r="J11929" s="199"/>
    </row>
    <row r="11930" spans="9:10" x14ac:dyDescent="0.25">
      <c r="I11930" s="199"/>
      <c r="J11930" s="199"/>
    </row>
    <row r="11931" spans="9:10" x14ac:dyDescent="0.25">
      <c r="I11931" s="199"/>
      <c r="J11931" s="199"/>
    </row>
    <row r="11932" spans="9:10" x14ac:dyDescent="0.25">
      <c r="I11932" s="199"/>
      <c r="J11932" s="199"/>
    </row>
    <row r="11933" spans="9:10" x14ac:dyDescent="0.25">
      <c r="I11933" s="199"/>
      <c r="J11933" s="199"/>
    </row>
    <row r="11934" spans="9:10" x14ac:dyDescent="0.25">
      <c r="I11934" s="199"/>
      <c r="J11934" s="199"/>
    </row>
    <row r="11935" spans="9:10" x14ac:dyDescent="0.25">
      <c r="I11935" s="199"/>
      <c r="J11935" s="199"/>
    </row>
    <row r="11936" spans="9:10" x14ac:dyDescent="0.25">
      <c r="I11936" s="199"/>
      <c r="J11936" s="199"/>
    </row>
    <row r="11937" spans="9:10" x14ac:dyDescent="0.25">
      <c r="I11937" s="199"/>
      <c r="J11937" s="199"/>
    </row>
    <row r="11938" spans="9:10" x14ac:dyDescent="0.25">
      <c r="I11938" s="199"/>
      <c r="J11938" s="199"/>
    </row>
    <row r="11939" spans="9:10" x14ac:dyDescent="0.25">
      <c r="I11939" s="199"/>
      <c r="J11939" s="199"/>
    </row>
    <row r="11940" spans="9:10" x14ac:dyDescent="0.25">
      <c r="I11940" s="199"/>
      <c r="J11940" s="199"/>
    </row>
    <row r="11941" spans="9:10" x14ac:dyDescent="0.25">
      <c r="I11941" s="199"/>
      <c r="J11941" s="199"/>
    </row>
    <row r="11942" spans="9:10" x14ac:dyDescent="0.25">
      <c r="I11942" s="199"/>
      <c r="J11942" s="199"/>
    </row>
    <row r="11943" spans="9:10" x14ac:dyDescent="0.25">
      <c r="I11943" s="199"/>
      <c r="J11943" s="199"/>
    </row>
    <row r="11944" spans="9:10" x14ac:dyDescent="0.25">
      <c r="I11944" s="199"/>
      <c r="J11944" s="199"/>
    </row>
    <row r="11945" spans="9:10" x14ac:dyDescent="0.25">
      <c r="I11945" s="199"/>
      <c r="J11945" s="199"/>
    </row>
    <row r="11946" spans="9:10" x14ac:dyDescent="0.25">
      <c r="I11946" s="199"/>
      <c r="J11946" s="199"/>
    </row>
    <row r="11947" spans="9:10" x14ac:dyDescent="0.25">
      <c r="I11947" s="199"/>
      <c r="J11947" s="199"/>
    </row>
    <row r="11948" spans="9:10" x14ac:dyDescent="0.25">
      <c r="I11948" s="199"/>
      <c r="J11948" s="199"/>
    </row>
    <row r="11949" spans="9:10" x14ac:dyDescent="0.25">
      <c r="I11949" s="199"/>
      <c r="J11949" s="199"/>
    </row>
    <row r="11950" spans="9:10" x14ac:dyDescent="0.25">
      <c r="I11950" s="199"/>
      <c r="J11950" s="199"/>
    </row>
    <row r="11951" spans="9:10" x14ac:dyDescent="0.25">
      <c r="I11951" s="199"/>
      <c r="J11951" s="199"/>
    </row>
    <row r="11952" spans="9:10" x14ac:dyDescent="0.25">
      <c r="I11952" s="199"/>
      <c r="J11952" s="199"/>
    </row>
    <row r="11953" spans="9:10" x14ac:dyDescent="0.25">
      <c r="I11953" s="199"/>
      <c r="J11953" s="199"/>
    </row>
    <row r="11954" spans="9:10" x14ac:dyDescent="0.25">
      <c r="I11954" s="199"/>
      <c r="J11954" s="199"/>
    </row>
    <row r="11955" spans="9:10" x14ac:dyDescent="0.25">
      <c r="I11955" s="199"/>
      <c r="J11955" s="199"/>
    </row>
    <row r="11956" spans="9:10" x14ac:dyDescent="0.25">
      <c r="I11956" s="199"/>
      <c r="J11956" s="199"/>
    </row>
    <row r="11957" spans="9:10" x14ac:dyDescent="0.25">
      <c r="I11957" s="199"/>
      <c r="J11957" s="199"/>
    </row>
    <row r="11958" spans="9:10" x14ac:dyDescent="0.25">
      <c r="I11958" s="199"/>
      <c r="J11958" s="199"/>
    </row>
    <row r="11959" spans="9:10" x14ac:dyDescent="0.25">
      <c r="I11959" s="199"/>
      <c r="J11959" s="199"/>
    </row>
    <row r="11960" spans="9:10" x14ac:dyDescent="0.25">
      <c r="I11960" s="199"/>
      <c r="J11960" s="199"/>
    </row>
    <row r="11961" spans="9:10" x14ac:dyDescent="0.25">
      <c r="I11961" s="199"/>
      <c r="J11961" s="199"/>
    </row>
    <row r="11962" spans="9:10" x14ac:dyDescent="0.25">
      <c r="I11962" s="199"/>
      <c r="J11962" s="199"/>
    </row>
    <row r="11963" spans="9:10" x14ac:dyDescent="0.25">
      <c r="I11963" s="199"/>
      <c r="J11963" s="199"/>
    </row>
    <row r="11964" spans="9:10" x14ac:dyDescent="0.25">
      <c r="I11964" s="199"/>
      <c r="J11964" s="199"/>
    </row>
    <row r="11965" spans="9:10" x14ac:dyDescent="0.25">
      <c r="I11965" s="199"/>
      <c r="J11965" s="199"/>
    </row>
    <row r="11966" spans="9:10" x14ac:dyDescent="0.25">
      <c r="I11966" s="199"/>
      <c r="J11966" s="199"/>
    </row>
    <row r="11967" spans="9:10" x14ac:dyDescent="0.25">
      <c r="I11967" s="199"/>
      <c r="J11967" s="199"/>
    </row>
    <row r="11968" spans="9:10" x14ac:dyDescent="0.25">
      <c r="I11968" s="199"/>
      <c r="J11968" s="199"/>
    </row>
    <row r="11969" spans="9:10" x14ac:dyDescent="0.25">
      <c r="I11969" s="199"/>
      <c r="J11969" s="199"/>
    </row>
    <row r="11970" spans="9:10" x14ac:dyDescent="0.25">
      <c r="I11970" s="199"/>
      <c r="J11970" s="199"/>
    </row>
    <row r="11971" spans="9:10" x14ac:dyDescent="0.25">
      <c r="I11971" s="199"/>
      <c r="J11971" s="199"/>
    </row>
    <row r="11972" spans="9:10" x14ac:dyDescent="0.25">
      <c r="I11972" s="199"/>
      <c r="J11972" s="199"/>
    </row>
    <row r="11973" spans="9:10" x14ac:dyDescent="0.25">
      <c r="I11973" s="199"/>
      <c r="J11973" s="199"/>
    </row>
    <row r="11974" spans="9:10" x14ac:dyDescent="0.25">
      <c r="I11974" s="199"/>
      <c r="J11974" s="199"/>
    </row>
    <row r="11975" spans="9:10" x14ac:dyDescent="0.25">
      <c r="I11975" s="199"/>
      <c r="J11975" s="199"/>
    </row>
    <row r="11976" spans="9:10" x14ac:dyDescent="0.25">
      <c r="I11976" s="199"/>
      <c r="J11976" s="199"/>
    </row>
    <row r="11977" spans="9:10" x14ac:dyDescent="0.25">
      <c r="I11977" s="199"/>
      <c r="J11977" s="199"/>
    </row>
    <row r="11978" spans="9:10" x14ac:dyDescent="0.25">
      <c r="I11978" s="199"/>
      <c r="J11978" s="199"/>
    </row>
    <row r="11979" spans="9:10" x14ac:dyDescent="0.25">
      <c r="I11979" s="199"/>
      <c r="J11979" s="199"/>
    </row>
    <row r="11980" spans="9:10" x14ac:dyDescent="0.25">
      <c r="I11980" s="199"/>
      <c r="J11980" s="199"/>
    </row>
    <row r="11981" spans="9:10" x14ac:dyDescent="0.25">
      <c r="I11981" s="199"/>
      <c r="J11981" s="199"/>
    </row>
    <row r="11982" spans="9:10" x14ac:dyDescent="0.25">
      <c r="I11982" s="199"/>
      <c r="J11982" s="199"/>
    </row>
    <row r="11983" spans="9:10" x14ac:dyDescent="0.25">
      <c r="I11983" s="199"/>
      <c r="J11983" s="199"/>
    </row>
    <row r="11984" spans="9:10" x14ac:dyDescent="0.25">
      <c r="I11984" s="199"/>
      <c r="J11984" s="199"/>
    </row>
    <row r="11985" spans="9:10" x14ac:dyDescent="0.25">
      <c r="I11985" s="199"/>
      <c r="J11985" s="199"/>
    </row>
    <row r="11986" spans="9:10" x14ac:dyDescent="0.25">
      <c r="I11986" s="199"/>
      <c r="J11986" s="199"/>
    </row>
    <row r="11987" spans="9:10" x14ac:dyDescent="0.25">
      <c r="I11987" s="199"/>
      <c r="J11987" s="199"/>
    </row>
    <row r="11988" spans="9:10" x14ac:dyDescent="0.25">
      <c r="I11988" s="199"/>
      <c r="J11988" s="199"/>
    </row>
    <row r="11989" spans="9:10" x14ac:dyDescent="0.25">
      <c r="I11989" s="199"/>
      <c r="J11989" s="199"/>
    </row>
    <row r="11990" spans="9:10" x14ac:dyDescent="0.25">
      <c r="I11990" s="199"/>
      <c r="J11990" s="199"/>
    </row>
    <row r="11991" spans="9:10" x14ac:dyDescent="0.25">
      <c r="I11991" s="199"/>
      <c r="J11991" s="199"/>
    </row>
    <row r="11992" spans="9:10" x14ac:dyDescent="0.25">
      <c r="I11992" s="199"/>
      <c r="J11992" s="199"/>
    </row>
    <row r="11993" spans="9:10" x14ac:dyDescent="0.25">
      <c r="I11993" s="199"/>
      <c r="J11993" s="199"/>
    </row>
    <row r="11994" spans="9:10" x14ac:dyDescent="0.25">
      <c r="I11994" s="199"/>
      <c r="J11994" s="199"/>
    </row>
    <row r="11995" spans="9:10" x14ac:dyDescent="0.25">
      <c r="I11995" s="199"/>
      <c r="J11995" s="199"/>
    </row>
    <row r="11996" spans="9:10" x14ac:dyDescent="0.25">
      <c r="I11996" s="199"/>
      <c r="J11996" s="199"/>
    </row>
    <row r="11997" spans="9:10" x14ac:dyDescent="0.25">
      <c r="I11997" s="199"/>
      <c r="J11997" s="199"/>
    </row>
    <row r="11998" spans="9:10" x14ac:dyDescent="0.25">
      <c r="I11998" s="199"/>
      <c r="J11998" s="199"/>
    </row>
    <row r="11999" spans="9:10" x14ac:dyDescent="0.25">
      <c r="I11999" s="199"/>
      <c r="J11999" s="199"/>
    </row>
    <row r="12000" spans="9:10" x14ac:dyDescent="0.25">
      <c r="I12000" s="199"/>
      <c r="J12000" s="199"/>
    </row>
    <row r="12001" spans="9:10" x14ac:dyDescent="0.25">
      <c r="I12001" s="199"/>
      <c r="J12001" s="199"/>
    </row>
    <row r="12002" spans="9:10" x14ac:dyDescent="0.25">
      <c r="I12002" s="199"/>
      <c r="J12002" s="199"/>
    </row>
    <row r="12003" spans="9:10" x14ac:dyDescent="0.25">
      <c r="I12003" s="199"/>
      <c r="J12003" s="199"/>
    </row>
    <row r="12004" spans="9:10" x14ac:dyDescent="0.25">
      <c r="I12004" s="199"/>
      <c r="J12004" s="199"/>
    </row>
    <row r="12005" spans="9:10" x14ac:dyDescent="0.25">
      <c r="I12005" s="199"/>
      <c r="J12005" s="199"/>
    </row>
    <row r="12006" spans="9:10" x14ac:dyDescent="0.25">
      <c r="I12006" s="199"/>
      <c r="J12006" s="199"/>
    </row>
    <row r="12007" spans="9:10" x14ac:dyDescent="0.25">
      <c r="I12007" s="199"/>
      <c r="J12007" s="199"/>
    </row>
    <row r="12008" spans="9:10" x14ac:dyDescent="0.25">
      <c r="I12008" s="199"/>
      <c r="J12008" s="199"/>
    </row>
    <row r="12009" spans="9:10" x14ac:dyDescent="0.25">
      <c r="I12009" s="199"/>
      <c r="J12009" s="199"/>
    </row>
    <row r="12010" spans="9:10" x14ac:dyDescent="0.25">
      <c r="I12010" s="199"/>
      <c r="J12010" s="199"/>
    </row>
    <row r="12011" spans="9:10" x14ac:dyDescent="0.25">
      <c r="I12011" s="199"/>
      <c r="J12011" s="199"/>
    </row>
    <row r="12012" spans="9:10" x14ac:dyDescent="0.25">
      <c r="I12012" s="199"/>
      <c r="J12012" s="199"/>
    </row>
    <row r="12013" spans="9:10" x14ac:dyDescent="0.25">
      <c r="I12013" s="199"/>
      <c r="J12013" s="199"/>
    </row>
    <row r="12014" spans="9:10" x14ac:dyDescent="0.25">
      <c r="I12014" s="199"/>
      <c r="J12014" s="199"/>
    </row>
    <row r="12015" spans="9:10" x14ac:dyDescent="0.25">
      <c r="I12015" s="199"/>
      <c r="J12015" s="199"/>
    </row>
    <row r="12016" spans="9:10" x14ac:dyDescent="0.25">
      <c r="I12016" s="199"/>
      <c r="J12016" s="199"/>
    </row>
    <row r="12017" spans="9:10" x14ac:dyDescent="0.25">
      <c r="I12017" s="199"/>
      <c r="J12017" s="199"/>
    </row>
    <row r="12018" spans="9:10" x14ac:dyDescent="0.25">
      <c r="I12018" s="199"/>
      <c r="J12018" s="199"/>
    </row>
    <row r="12019" spans="9:10" x14ac:dyDescent="0.25">
      <c r="I12019" s="199"/>
      <c r="J12019" s="199"/>
    </row>
    <row r="12020" spans="9:10" x14ac:dyDescent="0.25">
      <c r="I12020" s="199"/>
      <c r="J12020" s="199"/>
    </row>
    <row r="12021" spans="9:10" x14ac:dyDescent="0.25">
      <c r="I12021" s="199"/>
      <c r="J12021" s="199"/>
    </row>
    <row r="12022" spans="9:10" x14ac:dyDescent="0.25">
      <c r="I12022" s="199"/>
      <c r="J12022" s="199"/>
    </row>
    <row r="12023" spans="9:10" x14ac:dyDescent="0.25">
      <c r="I12023" s="199"/>
      <c r="J12023" s="199"/>
    </row>
    <row r="12024" spans="9:10" x14ac:dyDescent="0.25">
      <c r="I12024" s="199"/>
      <c r="J12024" s="199"/>
    </row>
    <row r="12025" spans="9:10" x14ac:dyDescent="0.25">
      <c r="I12025" s="199"/>
      <c r="J12025" s="199"/>
    </row>
    <row r="12026" spans="9:10" x14ac:dyDescent="0.25">
      <c r="I12026" s="199"/>
      <c r="J12026" s="199"/>
    </row>
    <row r="12027" spans="9:10" x14ac:dyDescent="0.25">
      <c r="I12027" s="199"/>
      <c r="J12027" s="199"/>
    </row>
    <row r="12028" spans="9:10" x14ac:dyDescent="0.25">
      <c r="I12028" s="199"/>
      <c r="J12028" s="199"/>
    </row>
    <row r="12029" spans="9:10" x14ac:dyDescent="0.25">
      <c r="I12029" s="199"/>
      <c r="J12029" s="199"/>
    </row>
    <row r="12030" spans="9:10" x14ac:dyDescent="0.25">
      <c r="I12030" s="199"/>
      <c r="J12030" s="199"/>
    </row>
    <row r="12031" spans="9:10" x14ac:dyDescent="0.25">
      <c r="I12031" s="199"/>
      <c r="J12031" s="199"/>
    </row>
    <row r="12032" spans="9:10" x14ac:dyDescent="0.25">
      <c r="I12032" s="199"/>
      <c r="J12032" s="199"/>
    </row>
    <row r="12033" spans="9:10" x14ac:dyDescent="0.25">
      <c r="I12033" s="199"/>
      <c r="J12033" s="199"/>
    </row>
    <row r="12034" spans="9:10" x14ac:dyDescent="0.25">
      <c r="I12034" s="199"/>
      <c r="J12034" s="199"/>
    </row>
    <row r="12035" spans="9:10" x14ac:dyDescent="0.25">
      <c r="I12035" s="199"/>
      <c r="J12035" s="199"/>
    </row>
    <row r="12036" spans="9:10" x14ac:dyDescent="0.25">
      <c r="I12036" s="199"/>
      <c r="J12036" s="199"/>
    </row>
    <row r="12037" spans="9:10" x14ac:dyDescent="0.25">
      <c r="I12037" s="199"/>
      <c r="J12037" s="199"/>
    </row>
    <row r="12038" spans="9:10" x14ac:dyDescent="0.25">
      <c r="I12038" s="199"/>
      <c r="J12038" s="199"/>
    </row>
    <row r="12039" spans="9:10" x14ac:dyDescent="0.25">
      <c r="I12039" s="199"/>
      <c r="J12039" s="199"/>
    </row>
    <row r="12040" spans="9:10" x14ac:dyDescent="0.25">
      <c r="I12040" s="199"/>
      <c r="J12040" s="199"/>
    </row>
    <row r="12041" spans="9:10" x14ac:dyDescent="0.25">
      <c r="I12041" s="199"/>
      <c r="J12041" s="199"/>
    </row>
    <row r="12042" spans="9:10" x14ac:dyDescent="0.25">
      <c r="I12042" s="199"/>
      <c r="J12042" s="199"/>
    </row>
    <row r="12043" spans="9:10" x14ac:dyDescent="0.25">
      <c r="I12043" s="199"/>
      <c r="J12043" s="199"/>
    </row>
    <row r="12044" spans="9:10" x14ac:dyDescent="0.25">
      <c r="I12044" s="199"/>
      <c r="J12044" s="199"/>
    </row>
    <row r="12045" spans="9:10" x14ac:dyDescent="0.25">
      <c r="I12045" s="199"/>
      <c r="J12045" s="199"/>
    </row>
    <row r="12046" spans="9:10" x14ac:dyDescent="0.25">
      <c r="I12046" s="199"/>
      <c r="J12046" s="199"/>
    </row>
    <row r="12047" spans="9:10" x14ac:dyDescent="0.25">
      <c r="I12047" s="199"/>
      <c r="J12047" s="199"/>
    </row>
    <row r="12048" spans="9:10" x14ac:dyDescent="0.25">
      <c r="I12048" s="199"/>
      <c r="J12048" s="199"/>
    </row>
    <row r="12049" spans="9:10" x14ac:dyDescent="0.25">
      <c r="I12049" s="199"/>
      <c r="J12049" s="199"/>
    </row>
    <row r="12050" spans="9:10" x14ac:dyDescent="0.25">
      <c r="I12050" s="199"/>
      <c r="J12050" s="199"/>
    </row>
    <row r="12051" spans="9:10" x14ac:dyDescent="0.25">
      <c r="I12051" s="199"/>
      <c r="J12051" s="199"/>
    </row>
    <row r="12052" spans="9:10" x14ac:dyDescent="0.25">
      <c r="I12052" s="199"/>
      <c r="J12052" s="199"/>
    </row>
    <row r="12053" spans="9:10" x14ac:dyDescent="0.25">
      <c r="I12053" s="199"/>
      <c r="J12053" s="199"/>
    </row>
    <row r="12054" spans="9:10" x14ac:dyDescent="0.25">
      <c r="I12054" s="199"/>
      <c r="J12054" s="199"/>
    </row>
    <row r="12055" spans="9:10" x14ac:dyDescent="0.25">
      <c r="I12055" s="199"/>
      <c r="J12055" s="199"/>
    </row>
    <row r="12056" spans="9:10" x14ac:dyDescent="0.25">
      <c r="I12056" s="199"/>
      <c r="J12056" s="199"/>
    </row>
    <row r="12057" spans="9:10" x14ac:dyDescent="0.25">
      <c r="I12057" s="199"/>
      <c r="J12057" s="199"/>
    </row>
    <row r="12058" spans="9:10" x14ac:dyDescent="0.25">
      <c r="I12058" s="199"/>
      <c r="J12058" s="199"/>
    </row>
    <row r="12059" spans="9:10" x14ac:dyDescent="0.25">
      <c r="I12059" s="199"/>
      <c r="J12059" s="199"/>
    </row>
    <row r="12060" spans="9:10" x14ac:dyDescent="0.25">
      <c r="I12060" s="199"/>
      <c r="J12060" s="199"/>
    </row>
    <row r="12061" spans="9:10" x14ac:dyDescent="0.25">
      <c r="I12061" s="199"/>
      <c r="J12061" s="199"/>
    </row>
    <row r="12062" spans="9:10" x14ac:dyDescent="0.25">
      <c r="I12062" s="199"/>
      <c r="J12062" s="199"/>
    </row>
    <row r="12063" spans="9:10" x14ac:dyDescent="0.25">
      <c r="I12063" s="199"/>
      <c r="J12063" s="199"/>
    </row>
    <row r="12064" spans="9:10" x14ac:dyDescent="0.25">
      <c r="I12064" s="199"/>
      <c r="J12064" s="199"/>
    </row>
    <row r="12065" spans="9:10" x14ac:dyDescent="0.25">
      <c r="I12065" s="199"/>
      <c r="J12065" s="199"/>
    </row>
    <row r="12066" spans="9:10" x14ac:dyDescent="0.25">
      <c r="I12066" s="199"/>
      <c r="J12066" s="199"/>
    </row>
    <row r="12067" spans="9:10" x14ac:dyDescent="0.25">
      <c r="I12067" s="199"/>
      <c r="J12067" s="199"/>
    </row>
    <row r="12068" spans="9:10" x14ac:dyDescent="0.25">
      <c r="I12068" s="199"/>
      <c r="J12068" s="199"/>
    </row>
    <row r="12069" spans="9:10" x14ac:dyDescent="0.25">
      <c r="I12069" s="199"/>
      <c r="J12069" s="199"/>
    </row>
    <row r="12070" spans="9:10" x14ac:dyDescent="0.25">
      <c r="I12070" s="199"/>
      <c r="J12070" s="199"/>
    </row>
    <row r="12071" spans="9:10" x14ac:dyDescent="0.25">
      <c r="I12071" s="199"/>
      <c r="J12071" s="199"/>
    </row>
    <row r="12072" spans="9:10" x14ac:dyDescent="0.25">
      <c r="I12072" s="199"/>
      <c r="J12072" s="199"/>
    </row>
    <row r="12073" spans="9:10" x14ac:dyDescent="0.25">
      <c r="I12073" s="199"/>
      <c r="J12073" s="199"/>
    </row>
    <row r="12074" spans="9:10" x14ac:dyDescent="0.25">
      <c r="I12074" s="199"/>
      <c r="J12074" s="199"/>
    </row>
    <row r="12075" spans="9:10" x14ac:dyDescent="0.25">
      <c r="I12075" s="199"/>
      <c r="J12075" s="199"/>
    </row>
    <row r="12076" spans="9:10" x14ac:dyDescent="0.25">
      <c r="I12076" s="199"/>
      <c r="J12076" s="199"/>
    </row>
    <row r="12077" spans="9:10" x14ac:dyDescent="0.25">
      <c r="I12077" s="199"/>
      <c r="J12077" s="199"/>
    </row>
    <row r="12078" spans="9:10" x14ac:dyDescent="0.25">
      <c r="I12078" s="199"/>
      <c r="J12078" s="199"/>
    </row>
    <row r="12079" spans="9:10" x14ac:dyDescent="0.25">
      <c r="I12079" s="199"/>
      <c r="J12079" s="199"/>
    </row>
    <row r="12080" spans="9:10" x14ac:dyDescent="0.25">
      <c r="I12080" s="199"/>
      <c r="J12080" s="199"/>
    </row>
    <row r="12081" spans="9:10" x14ac:dyDescent="0.25">
      <c r="I12081" s="199"/>
      <c r="J12081" s="199"/>
    </row>
    <row r="12082" spans="9:10" x14ac:dyDescent="0.25">
      <c r="I12082" s="199"/>
      <c r="J12082" s="199"/>
    </row>
    <row r="12083" spans="9:10" x14ac:dyDescent="0.25">
      <c r="I12083" s="199"/>
      <c r="J12083" s="199"/>
    </row>
    <row r="12084" spans="9:10" x14ac:dyDescent="0.25">
      <c r="I12084" s="199"/>
      <c r="J12084" s="199"/>
    </row>
    <row r="12085" spans="9:10" x14ac:dyDescent="0.25">
      <c r="I12085" s="199"/>
      <c r="J12085" s="199"/>
    </row>
    <row r="12086" spans="9:10" x14ac:dyDescent="0.25">
      <c r="I12086" s="199"/>
      <c r="J12086" s="199"/>
    </row>
    <row r="12087" spans="9:10" x14ac:dyDescent="0.25">
      <c r="I12087" s="199"/>
      <c r="J12087" s="199"/>
    </row>
    <row r="12088" spans="9:10" x14ac:dyDescent="0.25">
      <c r="I12088" s="199"/>
      <c r="J12088" s="199"/>
    </row>
    <row r="12089" spans="9:10" x14ac:dyDescent="0.25">
      <c r="I12089" s="199"/>
      <c r="J12089" s="199"/>
    </row>
    <row r="12090" spans="9:10" x14ac:dyDescent="0.25">
      <c r="I12090" s="199"/>
      <c r="J12090" s="199"/>
    </row>
    <row r="12091" spans="9:10" x14ac:dyDescent="0.25">
      <c r="I12091" s="199"/>
      <c r="J12091" s="199"/>
    </row>
    <row r="12092" spans="9:10" x14ac:dyDescent="0.25">
      <c r="I12092" s="199"/>
      <c r="J12092" s="199"/>
    </row>
    <row r="12093" spans="9:10" x14ac:dyDescent="0.25">
      <c r="I12093" s="199"/>
      <c r="J12093" s="199"/>
    </row>
    <row r="12094" spans="9:10" x14ac:dyDescent="0.25">
      <c r="I12094" s="199"/>
      <c r="J12094" s="199"/>
    </row>
    <row r="12095" spans="9:10" x14ac:dyDescent="0.25">
      <c r="I12095" s="199"/>
      <c r="J12095" s="199"/>
    </row>
    <row r="12096" spans="9:10" x14ac:dyDescent="0.25">
      <c r="I12096" s="199"/>
      <c r="J12096" s="199"/>
    </row>
    <row r="12097" spans="9:10" x14ac:dyDescent="0.25">
      <c r="I12097" s="199"/>
      <c r="J12097" s="199"/>
    </row>
    <row r="12098" spans="9:10" x14ac:dyDescent="0.25">
      <c r="I12098" s="199"/>
      <c r="J12098" s="199"/>
    </row>
    <row r="12099" spans="9:10" x14ac:dyDescent="0.25">
      <c r="I12099" s="199"/>
      <c r="J12099" s="199"/>
    </row>
    <row r="12100" spans="9:10" x14ac:dyDescent="0.25">
      <c r="I12100" s="199"/>
      <c r="J12100" s="199"/>
    </row>
    <row r="12101" spans="9:10" x14ac:dyDescent="0.25">
      <c r="I12101" s="199"/>
      <c r="J12101" s="199"/>
    </row>
    <row r="12102" spans="9:10" x14ac:dyDescent="0.25">
      <c r="I12102" s="199"/>
      <c r="J12102" s="199"/>
    </row>
    <row r="12103" spans="9:10" x14ac:dyDescent="0.25">
      <c r="I12103" s="199"/>
      <c r="J12103" s="199"/>
    </row>
    <row r="12104" spans="9:10" x14ac:dyDescent="0.25">
      <c r="I12104" s="199"/>
      <c r="J12104" s="199"/>
    </row>
    <row r="12105" spans="9:10" x14ac:dyDescent="0.25">
      <c r="I12105" s="199"/>
      <c r="J12105" s="199"/>
    </row>
    <row r="12106" spans="9:10" x14ac:dyDescent="0.25">
      <c r="I12106" s="199"/>
      <c r="J12106" s="199"/>
    </row>
    <row r="12107" spans="9:10" x14ac:dyDescent="0.25">
      <c r="I12107" s="199"/>
      <c r="J12107" s="199"/>
    </row>
    <row r="12108" spans="9:10" x14ac:dyDescent="0.25">
      <c r="I12108" s="199"/>
      <c r="J12108" s="199"/>
    </row>
    <row r="12109" spans="9:10" x14ac:dyDescent="0.25">
      <c r="I12109" s="199"/>
      <c r="J12109" s="199"/>
    </row>
    <row r="12110" spans="9:10" x14ac:dyDescent="0.25">
      <c r="I12110" s="199"/>
      <c r="J12110" s="199"/>
    </row>
    <row r="12111" spans="9:10" x14ac:dyDescent="0.25">
      <c r="I12111" s="199"/>
      <c r="J12111" s="199"/>
    </row>
    <row r="12112" spans="9:10" x14ac:dyDescent="0.25">
      <c r="I12112" s="199"/>
      <c r="J12112" s="199"/>
    </row>
    <row r="12113" spans="9:10" x14ac:dyDescent="0.25">
      <c r="I12113" s="199"/>
      <c r="J12113" s="199"/>
    </row>
    <row r="12114" spans="9:10" x14ac:dyDescent="0.25">
      <c r="I12114" s="199"/>
      <c r="J12114" s="199"/>
    </row>
    <row r="12115" spans="9:10" x14ac:dyDescent="0.25">
      <c r="I12115" s="199"/>
      <c r="J12115" s="199"/>
    </row>
    <row r="12116" spans="9:10" x14ac:dyDescent="0.25">
      <c r="I12116" s="199"/>
      <c r="J12116" s="199"/>
    </row>
    <row r="12117" spans="9:10" x14ac:dyDescent="0.25">
      <c r="I12117" s="199"/>
      <c r="J12117" s="199"/>
    </row>
    <row r="12118" spans="9:10" x14ac:dyDescent="0.25">
      <c r="I12118" s="199"/>
      <c r="J12118" s="199"/>
    </row>
    <row r="12119" spans="9:10" x14ac:dyDescent="0.25">
      <c r="I12119" s="199"/>
      <c r="J12119" s="199"/>
    </row>
    <row r="12120" spans="9:10" x14ac:dyDescent="0.25">
      <c r="I12120" s="199"/>
      <c r="J12120" s="199"/>
    </row>
    <row r="12121" spans="9:10" x14ac:dyDescent="0.25">
      <c r="I12121" s="199"/>
      <c r="J12121" s="199"/>
    </row>
    <row r="12122" spans="9:10" x14ac:dyDescent="0.25">
      <c r="I12122" s="199"/>
      <c r="J12122" s="199"/>
    </row>
    <row r="12123" spans="9:10" x14ac:dyDescent="0.25">
      <c r="I12123" s="199"/>
      <c r="J12123" s="199"/>
    </row>
    <row r="12124" spans="9:10" x14ac:dyDescent="0.25">
      <c r="I12124" s="199"/>
      <c r="J12124" s="199"/>
    </row>
    <row r="12125" spans="9:10" x14ac:dyDescent="0.25">
      <c r="I12125" s="199"/>
      <c r="J12125" s="199"/>
    </row>
    <row r="12126" spans="9:10" x14ac:dyDescent="0.25">
      <c r="I12126" s="199"/>
      <c r="J12126" s="199"/>
    </row>
    <row r="12127" spans="9:10" x14ac:dyDescent="0.25">
      <c r="I12127" s="199"/>
      <c r="J12127" s="199"/>
    </row>
    <row r="12128" spans="9:10" x14ac:dyDescent="0.25">
      <c r="I12128" s="199"/>
      <c r="J12128" s="199"/>
    </row>
    <row r="12129" spans="9:10" x14ac:dyDescent="0.25">
      <c r="I12129" s="199"/>
      <c r="J12129" s="199"/>
    </row>
    <row r="12130" spans="9:10" x14ac:dyDescent="0.25">
      <c r="I12130" s="199"/>
      <c r="J12130" s="199"/>
    </row>
    <row r="12131" spans="9:10" x14ac:dyDescent="0.25">
      <c r="I12131" s="199"/>
      <c r="J12131" s="199"/>
    </row>
    <row r="12132" spans="9:10" x14ac:dyDescent="0.25">
      <c r="I12132" s="199"/>
      <c r="J12132" s="199"/>
    </row>
    <row r="12133" spans="9:10" x14ac:dyDescent="0.25">
      <c r="I12133" s="199"/>
      <c r="J12133" s="199"/>
    </row>
    <row r="12134" spans="9:10" x14ac:dyDescent="0.25">
      <c r="I12134" s="199"/>
      <c r="J12134" s="199"/>
    </row>
    <row r="12135" spans="9:10" x14ac:dyDescent="0.25">
      <c r="I12135" s="199"/>
      <c r="J12135" s="199"/>
    </row>
    <row r="12136" spans="9:10" x14ac:dyDescent="0.25">
      <c r="I12136" s="199"/>
      <c r="J12136" s="199"/>
    </row>
    <row r="12137" spans="9:10" x14ac:dyDescent="0.25">
      <c r="I12137" s="199"/>
      <c r="J12137" s="199"/>
    </row>
    <row r="12138" spans="9:10" x14ac:dyDescent="0.25">
      <c r="I12138" s="199"/>
      <c r="J12138" s="199"/>
    </row>
    <row r="12139" spans="9:10" x14ac:dyDescent="0.25">
      <c r="I12139" s="199"/>
      <c r="J12139" s="199"/>
    </row>
    <row r="12140" spans="9:10" x14ac:dyDescent="0.25">
      <c r="I12140" s="199"/>
      <c r="J12140" s="199"/>
    </row>
    <row r="12141" spans="9:10" x14ac:dyDescent="0.25">
      <c r="I12141" s="199"/>
      <c r="J12141" s="199"/>
    </row>
    <row r="12142" spans="9:10" x14ac:dyDescent="0.25">
      <c r="I12142" s="199"/>
      <c r="J12142" s="199"/>
    </row>
    <row r="12143" spans="9:10" x14ac:dyDescent="0.25">
      <c r="I12143" s="199"/>
      <c r="J12143" s="199"/>
    </row>
    <row r="12144" spans="9:10" x14ac:dyDescent="0.25">
      <c r="I12144" s="199"/>
      <c r="J12144" s="199"/>
    </row>
    <row r="12145" spans="9:10" x14ac:dyDescent="0.25">
      <c r="I12145" s="199"/>
      <c r="J12145" s="199"/>
    </row>
    <row r="12146" spans="9:10" x14ac:dyDescent="0.25">
      <c r="I12146" s="199"/>
      <c r="J12146" s="199"/>
    </row>
    <row r="12147" spans="9:10" x14ac:dyDescent="0.25">
      <c r="I12147" s="199"/>
      <c r="J12147" s="199"/>
    </row>
    <row r="12148" spans="9:10" x14ac:dyDescent="0.25">
      <c r="I12148" s="199"/>
      <c r="J12148" s="199"/>
    </row>
    <row r="12149" spans="9:10" x14ac:dyDescent="0.25">
      <c r="I12149" s="199"/>
      <c r="J12149" s="199"/>
    </row>
    <row r="12150" spans="9:10" x14ac:dyDescent="0.25">
      <c r="I12150" s="199"/>
      <c r="J12150" s="199"/>
    </row>
    <row r="12151" spans="9:10" x14ac:dyDescent="0.25">
      <c r="I12151" s="199"/>
      <c r="J12151" s="199"/>
    </row>
    <row r="12152" spans="9:10" x14ac:dyDescent="0.25">
      <c r="I12152" s="199"/>
      <c r="J12152" s="199"/>
    </row>
    <row r="12153" spans="9:10" x14ac:dyDescent="0.25">
      <c r="I12153" s="199"/>
      <c r="J12153" s="199"/>
    </row>
    <row r="12154" spans="9:10" x14ac:dyDescent="0.25">
      <c r="I12154" s="199"/>
      <c r="J12154" s="199"/>
    </row>
    <row r="12155" spans="9:10" x14ac:dyDescent="0.25">
      <c r="I12155" s="199"/>
      <c r="J12155" s="199"/>
    </row>
    <row r="12156" spans="9:10" x14ac:dyDescent="0.25">
      <c r="I12156" s="199"/>
      <c r="J12156" s="199"/>
    </row>
    <row r="12157" spans="9:10" x14ac:dyDescent="0.25">
      <c r="I12157" s="199"/>
      <c r="J12157" s="199"/>
    </row>
    <row r="12158" spans="9:10" x14ac:dyDescent="0.25">
      <c r="I12158" s="199"/>
      <c r="J12158" s="199"/>
    </row>
    <row r="12159" spans="9:10" x14ac:dyDescent="0.25">
      <c r="I12159" s="199"/>
      <c r="J12159" s="199"/>
    </row>
    <row r="12160" spans="9:10" x14ac:dyDescent="0.25">
      <c r="I12160" s="199"/>
      <c r="J12160" s="199"/>
    </row>
    <row r="12161" spans="9:10" x14ac:dyDescent="0.25">
      <c r="I12161" s="199"/>
      <c r="J12161" s="199"/>
    </row>
    <row r="12162" spans="9:10" x14ac:dyDescent="0.25">
      <c r="I12162" s="199"/>
      <c r="J12162" s="199"/>
    </row>
    <row r="12163" spans="9:10" x14ac:dyDescent="0.25">
      <c r="I12163" s="199"/>
      <c r="J12163" s="199"/>
    </row>
    <row r="12164" spans="9:10" x14ac:dyDescent="0.25">
      <c r="I12164" s="199"/>
      <c r="J12164" s="199"/>
    </row>
    <row r="12165" spans="9:10" x14ac:dyDescent="0.25">
      <c r="I12165" s="199"/>
      <c r="J12165" s="199"/>
    </row>
    <row r="12166" spans="9:10" x14ac:dyDescent="0.25">
      <c r="I12166" s="199"/>
      <c r="J12166" s="199"/>
    </row>
    <row r="12167" spans="9:10" x14ac:dyDescent="0.25">
      <c r="I12167" s="199"/>
      <c r="J12167" s="199"/>
    </row>
    <row r="12168" spans="9:10" x14ac:dyDescent="0.25">
      <c r="I12168" s="199"/>
      <c r="J12168" s="199"/>
    </row>
    <row r="12169" spans="9:10" x14ac:dyDescent="0.25">
      <c r="I12169" s="199"/>
      <c r="J12169" s="199"/>
    </row>
    <row r="12170" spans="9:10" x14ac:dyDescent="0.25">
      <c r="I12170" s="199"/>
      <c r="J12170" s="199"/>
    </row>
    <row r="12171" spans="9:10" x14ac:dyDescent="0.25">
      <c r="I12171" s="199"/>
      <c r="J12171" s="199"/>
    </row>
    <row r="12172" spans="9:10" x14ac:dyDescent="0.25">
      <c r="I12172" s="199"/>
      <c r="J12172" s="199"/>
    </row>
    <row r="12173" spans="9:10" x14ac:dyDescent="0.25">
      <c r="I12173" s="199"/>
      <c r="J12173" s="199"/>
    </row>
    <row r="12174" spans="9:10" x14ac:dyDescent="0.25">
      <c r="I12174" s="199"/>
      <c r="J12174" s="199"/>
    </row>
    <row r="12175" spans="9:10" x14ac:dyDescent="0.25">
      <c r="I12175" s="199"/>
      <c r="J12175" s="199"/>
    </row>
    <row r="12176" spans="9:10" x14ac:dyDescent="0.25">
      <c r="I12176" s="199"/>
      <c r="J12176" s="199"/>
    </row>
    <row r="12177" spans="9:10" x14ac:dyDescent="0.25">
      <c r="I12177" s="199"/>
      <c r="J12177" s="199"/>
    </row>
    <row r="12178" spans="9:10" x14ac:dyDescent="0.25">
      <c r="I12178" s="199"/>
      <c r="J12178" s="199"/>
    </row>
    <row r="12179" spans="9:10" x14ac:dyDescent="0.25">
      <c r="I12179" s="199"/>
      <c r="J12179" s="199"/>
    </row>
    <row r="12180" spans="9:10" x14ac:dyDescent="0.25">
      <c r="I12180" s="199"/>
      <c r="J12180" s="199"/>
    </row>
    <row r="12181" spans="9:10" x14ac:dyDescent="0.25">
      <c r="I12181" s="199"/>
      <c r="J12181" s="199"/>
    </row>
    <row r="12182" spans="9:10" x14ac:dyDescent="0.25">
      <c r="I12182" s="199"/>
      <c r="J12182" s="199"/>
    </row>
    <row r="12183" spans="9:10" x14ac:dyDescent="0.25">
      <c r="I12183" s="199"/>
      <c r="J12183" s="199"/>
    </row>
    <row r="12184" spans="9:10" x14ac:dyDescent="0.25">
      <c r="I12184" s="199"/>
      <c r="J12184" s="199"/>
    </row>
    <row r="12185" spans="9:10" x14ac:dyDescent="0.25">
      <c r="I12185" s="199"/>
      <c r="J12185" s="199"/>
    </row>
    <row r="12186" spans="9:10" x14ac:dyDescent="0.25">
      <c r="I12186" s="199"/>
      <c r="J12186" s="199"/>
    </row>
    <row r="12187" spans="9:10" x14ac:dyDescent="0.25">
      <c r="I12187" s="199"/>
      <c r="J12187" s="199"/>
    </row>
    <row r="12188" spans="9:10" x14ac:dyDescent="0.25">
      <c r="I12188" s="199"/>
      <c r="J12188" s="199"/>
    </row>
    <row r="12189" spans="9:10" x14ac:dyDescent="0.25">
      <c r="I12189" s="199"/>
      <c r="J12189" s="199"/>
    </row>
    <row r="12190" spans="9:10" x14ac:dyDescent="0.25">
      <c r="I12190" s="199"/>
      <c r="J12190" s="199"/>
    </row>
    <row r="12191" spans="9:10" x14ac:dyDescent="0.25">
      <c r="I12191" s="199"/>
      <c r="J12191" s="199"/>
    </row>
    <row r="12192" spans="9:10" x14ac:dyDescent="0.25">
      <c r="I12192" s="199"/>
      <c r="J12192" s="199"/>
    </row>
    <row r="12193" spans="9:10" x14ac:dyDescent="0.25">
      <c r="I12193" s="199"/>
      <c r="J12193" s="199"/>
    </row>
    <row r="12194" spans="9:10" x14ac:dyDescent="0.25">
      <c r="I12194" s="199"/>
      <c r="J12194" s="199"/>
    </row>
    <row r="12195" spans="9:10" x14ac:dyDescent="0.25">
      <c r="I12195" s="199"/>
      <c r="J12195" s="199"/>
    </row>
    <row r="12196" spans="9:10" x14ac:dyDescent="0.25">
      <c r="I12196" s="199"/>
      <c r="J12196" s="199"/>
    </row>
    <row r="12197" spans="9:10" x14ac:dyDescent="0.25">
      <c r="I12197" s="199"/>
      <c r="J12197" s="199"/>
    </row>
    <row r="12198" spans="9:10" x14ac:dyDescent="0.25">
      <c r="I12198" s="199"/>
      <c r="J12198" s="199"/>
    </row>
    <row r="12199" spans="9:10" x14ac:dyDescent="0.25">
      <c r="I12199" s="199"/>
      <c r="J12199" s="199"/>
    </row>
    <row r="12200" spans="9:10" x14ac:dyDescent="0.25">
      <c r="I12200" s="199"/>
      <c r="J12200" s="199"/>
    </row>
    <row r="12201" spans="9:10" x14ac:dyDescent="0.25">
      <c r="I12201" s="199"/>
      <c r="J12201" s="199"/>
    </row>
    <row r="12202" spans="9:10" x14ac:dyDescent="0.25">
      <c r="I12202" s="199"/>
      <c r="J12202" s="199"/>
    </row>
    <row r="12203" spans="9:10" x14ac:dyDescent="0.25">
      <c r="I12203" s="199"/>
      <c r="J12203" s="199"/>
    </row>
    <row r="12204" spans="9:10" x14ac:dyDescent="0.25">
      <c r="I12204" s="199"/>
      <c r="J12204" s="199"/>
    </row>
    <row r="12205" spans="9:10" x14ac:dyDescent="0.25">
      <c r="I12205" s="199"/>
      <c r="J12205" s="199"/>
    </row>
    <row r="12206" spans="9:10" x14ac:dyDescent="0.25">
      <c r="I12206" s="199"/>
      <c r="J12206" s="199"/>
    </row>
    <row r="12207" spans="9:10" x14ac:dyDescent="0.25">
      <c r="I12207" s="199"/>
      <c r="J12207" s="199"/>
    </row>
    <row r="12208" spans="9:10" x14ac:dyDescent="0.25">
      <c r="I12208" s="199"/>
      <c r="J12208" s="199"/>
    </row>
    <row r="12209" spans="9:10" x14ac:dyDescent="0.25">
      <c r="I12209" s="199"/>
      <c r="J12209" s="199"/>
    </row>
    <row r="12210" spans="9:10" x14ac:dyDescent="0.25">
      <c r="I12210" s="199"/>
      <c r="J12210" s="199"/>
    </row>
    <row r="12211" spans="9:10" x14ac:dyDescent="0.25">
      <c r="I12211" s="199"/>
      <c r="J12211" s="199"/>
    </row>
    <row r="12212" spans="9:10" x14ac:dyDescent="0.25">
      <c r="I12212" s="199"/>
      <c r="J12212" s="199"/>
    </row>
    <row r="12213" spans="9:10" x14ac:dyDescent="0.25">
      <c r="I12213" s="199"/>
      <c r="J12213" s="199"/>
    </row>
    <row r="12214" spans="9:10" x14ac:dyDescent="0.25">
      <c r="I12214" s="199"/>
      <c r="J12214" s="199"/>
    </row>
    <row r="12215" spans="9:10" x14ac:dyDescent="0.25">
      <c r="I12215" s="199"/>
      <c r="J12215" s="199"/>
    </row>
    <row r="12216" spans="9:10" x14ac:dyDescent="0.25">
      <c r="I12216" s="199"/>
      <c r="J12216" s="199"/>
    </row>
    <row r="12217" spans="9:10" x14ac:dyDescent="0.25">
      <c r="I12217" s="199"/>
      <c r="J12217" s="199"/>
    </row>
    <row r="12218" spans="9:10" x14ac:dyDescent="0.25">
      <c r="I12218" s="199"/>
      <c r="J12218" s="199"/>
    </row>
    <row r="12219" spans="9:10" x14ac:dyDescent="0.25">
      <c r="I12219" s="199"/>
      <c r="J12219" s="199"/>
    </row>
    <row r="12220" spans="9:10" x14ac:dyDescent="0.25">
      <c r="I12220" s="199"/>
      <c r="J12220" s="199"/>
    </row>
    <row r="12221" spans="9:10" x14ac:dyDescent="0.25">
      <c r="I12221" s="199"/>
      <c r="J12221" s="199"/>
    </row>
    <row r="12222" spans="9:10" x14ac:dyDescent="0.25">
      <c r="I12222" s="199"/>
      <c r="J12222" s="199"/>
    </row>
    <row r="12223" spans="9:10" x14ac:dyDescent="0.25">
      <c r="I12223" s="199"/>
      <c r="J12223" s="199"/>
    </row>
    <row r="12224" spans="9:10" x14ac:dyDescent="0.25">
      <c r="I12224" s="199"/>
      <c r="J12224" s="199"/>
    </row>
    <row r="12225" spans="9:10" x14ac:dyDescent="0.25">
      <c r="I12225" s="199"/>
      <c r="J12225" s="199"/>
    </row>
    <row r="12226" spans="9:10" x14ac:dyDescent="0.25">
      <c r="I12226" s="199"/>
      <c r="J12226" s="199"/>
    </row>
    <row r="12227" spans="9:10" x14ac:dyDescent="0.25">
      <c r="I12227" s="199"/>
      <c r="J12227" s="199"/>
    </row>
    <row r="12228" spans="9:10" x14ac:dyDescent="0.25">
      <c r="I12228" s="199"/>
      <c r="J12228" s="199"/>
    </row>
    <row r="12229" spans="9:10" x14ac:dyDescent="0.25">
      <c r="I12229" s="199"/>
      <c r="J12229" s="199"/>
    </row>
    <row r="12230" spans="9:10" x14ac:dyDescent="0.25">
      <c r="I12230" s="199"/>
      <c r="J12230" s="199"/>
    </row>
    <row r="12231" spans="9:10" x14ac:dyDescent="0.25">
      <c r="I12231" s="199"/>
      <c r="J12231" s="199"/>
    </row>
    <row r="12232" spans="9:10" x14ac:dyDescent="0.25">
      <c r="I12232" s="199"/>
      <c r="J12232" s="199"/>
    </row>
    <row r="12233" spans="9:10" x14ac:dyDescent="0.25">
      <c r="I12233" s="199"/>
      <c r="J12233" s="199"/>
    </row>
    <row r="12234" spans="9:10" x14ac:dyDescent="0.25">
      <c r="I12234" s="199"/>
      <c r="J12234" s="199"/>
    </row>
    <row r="12235" spans="9:10" x14ac:dyDescent="0.25">
      <c r="I12235" s="199"/>
      <c r="J12235" s="199"/>
    </row>
    <row r="12236" spans="9:10" x14ac:dyDescent="0.25">
      <c r="I12236" s="199"/>
      <c r="J12236" s="199"/>
    </row>
    <row r="12237" spans="9:10" x14ac:dyDescent="0.25">
      <c r="I12237" s="199"/>
      <c r="J12237" s="199"/>
    </row>
    <row r="12238" spans="9:10" x14ac:dyDescent="0.25">
      <c r="I12238" s="199"/>
      <c r="J12238" s="199"/>
    </row>
    <row r="12239" spans="9:10" x14ac:dyDescent="0.25">
      <c r="I12239" s="199"/>
      <c r="J12239" s="199"/>
    </row>
    <row r="12240" spans="9:10" x14ac:dyDescent="0.25">
      <c r="I12240" s="199"/>
      <c r="J12240" s="199"/>
    </row>
    <row r="12241" spans="9:10" x14ac:dyDescent="0.25">
      <c r="I12241" s="199"/>
      <c r="J12241" s="199"/>
    </row>
    <row r="12242" spans="9:10" x14ac:dyDescent="0.25">
      <c r="I12242" s="199"/>
      <c r="J12242" s="199"/>
    </row>
    <row r="12243" spans="9:10" x14ac:dyDescent="0.25">
      <c r="I12243" s="199"/>
      <c r="J12243" s="199"/>
    </row>
    <row r="12244" spans="9:10" x14ac:dyDescent="0.25">
      <c r="I12244" s="199"/>
      <c r="J12244" s="199"/>
    </row>
    <row r="12245" spans="9:10" x14ac:dyDescent="0.25">
      <c r="I12245" s="199"/>
      <c r="J12245" s="199"/>
    </row>
    <row r="12246" spans="9:10" x14ac:dyDescent="0.25">
      <c r="I12246" s="199"/>
      <c r="J12246" s="199"/>
    </row>
    <row r="12247" spans="9:10" x14ac:dyDescent="0.25">
      <c r="I12247" s="199"/>
      <c r="J12247" s="199"/>
    </row>
    <row r="12248" spans="9:10" x14ac:dyDescent="0.25">
      <c r="I12248" s="199"/>
      <c r="J12248" s="199"/>
    </row>
    <row r="12249" spans="9:10" x14ac:dyDescent="0.25">
      <c r="I12249" s="199"/>
      <c r="J12249" s="199"/>
    </row>
    <row r="12250" spans="9:10" x14ac:dyDescent="0.25">
      <c r="I12250" s="199"/>
      <c r="J12250" s="199"/>
    </row>
    <row r="12251" spans="9:10" x14ac:dyDescent="0.25">
      <c r="I12251" s="199"/>
      <c r="J12251" s="199"/>
    </row>
    <row r="12252" spans="9:10" x14ac:dyDescent="0.25">
      <c r="I12252" s="199"/>
      <c r="J12252" s="199"/>
    </row>
    <row r="12253" spans="9:10" x14ac:dyDescent="0.25">
      <c r="I12253" s="199"/>
      <c r="J12253" s="199"/>
    </row>
    <row r="12254" spans="9:10" x14ac:dyDescent="0.25">
      <c r="I12254" s="199"/>
      <c r="J12254" s="199"/>
    </row>
    <row r="12255" spans="9:10" x14ac:dyDescent="0.25">
      <c r="I12255" s="199"/>
      <c r="J12255" s="199"/>
    </row>
    <row r="12256" spans="9:10" x14ac:dyDescent="0.25">
      <c r="I12256" s="199"/>
      <c r="J12256" s="199"/>
    </row>
    <row r="12257" spans="9:10" x14ac:dyDescent="0.25">
      <c r="I12257" s="199"/>
      <c r="J12257" s="199"/>
    </row>
    <row r="12258" spans="9:10" x14ac:dyDescent="0.25">
      <c r="I12258" s="199"/>
      <c r="J12258" s="199"/>
    </row>
    <row r="12259" spans="9:10" x14ac:dyDescent="0.25">
      <c r="I12259" s="199"/>
      <c r="J12259" s="199"/>
    </row>
    <row r="12260" spans="9:10" x14ac:dyDescent="0.25">
      <c r="I12260" s="199"/>
      <c r="J12260" s="199"/>
    </row>
    <row r="12261" spans="9:10" x14ac:dyDescent="0.25">
      <c r="I12261" s="199"/>
      <c r="J12261" s="199"/>
    </row>
    <row r="12262" spans="9:10" x14ac:dyDescent="0.25">
      <c r="I12262" s="199"/>
      <c r="J12262" s="199"/>
    </row>
    <row r="12263" spans="9:10" x14ac:dyDescent="0.25">
      <c r="I12263" s="199"/>
      <c r="J12263" s="199"/>
    </row>
    <row r="12264" spans="9:10" x14ac:dyDescent="0.25">
      <c r="I12264" s="199"/>
      <c r="J12264" s="199"/>
    </row>
    <row r="12265" spans="9:10" x14ac:dyDescent="0.25">
      <c r="I12265" s="199"/>
      <c r="J12265" s="199"/>
    </row>
    <row r="12266" spans="9:10" x14ac:dyDescent="0.25">
      <c r="I12266" s="199"/>
      <c r="J12266" s="199"/>
    </row>
    <row r="12267" spans="9:10" x14ac:dyDescent="0.25">
      <c r="I12267" s="199"/>
      <c r="J12267" s="199"/>
    </row>
    <row r="12268" spans="9:10" x14ac:dyDescent="0.25">
      <c r="I12268" s="199"/>
      <c r="J12268" s="199"/>
    </row>
    <row r="12269" spans="9:10" x14ac:dyDescent="0.25">
      <c r="I12269" s="199"/>
      <c r="J12269" s="199"/>
    </row>
    <row r="12270" spans="9:10" x14ac:dyDescent="0.25">
      <c r="I12270" s="199"/>
      <c r="J12270" s="199"/>
    </row>
    <row r="12271" spans="9:10" x14ac:dyDescent="0.25">
      <c r="I12271" s="199"/>
      <c r="J12271" s="199"/>
    </row>
    <row r="12272" spans="9:10" x14ac:dyDescent="0.25">
      <c r="I12272" s="199"/>
      <c r="J12272" s="199"/>
    </row>
    <row r="12273" spans="9:10" x14ac:dyDescent="0.25">
      <c r="I12273" s="199"/>
      <c r="J12273" s="199"/>
    </row>
    <row r="12274" spans="9:10" x14ac:dyDescent="0.25">
      <c r="I12274" s="199"/>
      <c r="J12274" s="199"/>
    </row>
    <row r="12275" spans="9:10" x14ac:dyDescent="0.25">
      <c r="I12275" s="199"/>
      <c r="J12275" s="199"/>
    </row>
    <row r="12276" spans="9:10" x14ac:dyDescent="0.25">
      <c r="I12276" s="199"/>
      <c r="J12276" s="199"/>
    </row>
    <row r="12277" spans="9:10" x14ac:dyDescent="0.25">
      <c r="I12277" s="199"/>
      <c r="J12277" s="199"/>
    </row>
    <row r="12278" spans="9:10" x14ac:dyDescent="0.25">
      <c r="I12278" s="199"/>
      <c r="J12278" s="199"/>
    </row>
    <row r="12279" spans="9:10" x14ac:dyDescent="0.25">
      <c r="I12279" s="199"/>
      <c r="J12279" s="199"/>
    </row>
    <row r="12280" spans="9:10" x14ac:dyDescent="0.25">
      <c r="I12280" s="199"/>
      <c r="J12280" s="199"/>
    </row>
    <row r="12281" spans="9:10" x14ac:dyDescent="0.25">
      <c r="I12281" s="199"/>
      <c r="J12281" s="199"/>
    </row>
    <row r="12282" spans="9:10" x14ac:dyDescent="0.25">
      <c r="I12282" s="199"/>
      <c r="J12282" s="199"/>
    </row>
    <row r="12283" spans="9:10" x14ac:dyDescent="0.25">
      <c r="I12283" s="199"/>
      <c r="J12283" s="199"/>
    </row>
    <row r="12284" spans="9:10" x14ac:dyDescent="0.25">
      <c r="I12284" s="199"/>
      <c r="J12284" s="199"/>
    </row>
    <row r="12285" spans="9:10" x14ac:dyDescent="0.25">
      <c r="I12285" s="199"/>
      <c r="J12285" s="199"/>
    </row>
    <row r="12286" spans="9:10" x14ac:dyDescent="0.25">
      <c r="I12286" s="199"/>
      <c r="J12286" s="199"/>
    </row>
    <row r="12287" spans="9:10" x14ac:dyDescent="0.25">
      <c r="I12287" s="199"/>
      <c r="J12287" s="199"/>
    </row>
    <row r="12288" spans="9:10" x14ac:dyDescent="0.25">
      <c r="I12288" s="199"/>
      <c r="J12288" s="199"/>
    </row>
    <row r="12289" spans="9:10" x14ac:dyDescent="0.25">
      <c r="I12289" s="199"/>
      <c r="J12289" s="199"/>
    </row>
    <row r="12290" spans="9:10" x14ac:dyDescent="0.25">
      <c r="I12290" s="199"/>
      <c r="J12290" s="199"/>
    </row>
    <row r="12291" spans="9:10" x14ac:dyDescent="0.25">
      <c r="I12291" s="199"/>
      <c r="J12291" s="199"/>
    </row>
    <row r="12292" spans="9:10" x14ac:dyDescent="0.25">
      <c r="I12292" s="199"/>
      <c r="J12292" s="199"/>
    </row>
    <row r="12293" spans="9:10" x14ac:dyDescent="0.25">
      <c r="I12293" s="199"/>
      <c r="J12293" s="199"/>
    </row>
    <row r="12294" spans="9:10" x14ac:dyDescent="0.25">
      <c r="I12294" s="199"/>
      <c r="J12294" s="199"/>
    </row>
    <row r="12295" spans="9:10" x14ac:dyDescent="0.25">
      <c r="I12295" s="199"/>
      <c r="J12295" s="199"/>
    </row>
    <row r="12296" spans="9:10" x14ac:dyDescent="0.25">
      <c r="I12296" s="199"/>
      <c r="J12296" s="199"/>
    </row>
    <row r="12297" spans="9:10" x14ac:dyDescent="0.25">
      <c r="I12297" s="199"/>
      <c r="J12297" s="199"/>
    </row>
    <row r="12298" spans="9:10" x14ac:dyDescent="0.25">
      <c r="I12298" s="199"/>
      <c r="J12298" s="199"/>
    </row>
    <row r="12299" spans="9:10" x14ac:dyDescent="0.25">
      <c r="I12299" s="199"/>
      <c r="J12299" s="199"/>
    </row>
    <row r="12300" spans="9:10" x14ac:dyDescent="0.25">
      <c r="I12300" s="199"/>
      <c r="J12300" s="199"/>
    </row>
    <row r="12301" spans="9:10" x14ac:dyDescent="0.25">
      <c r="I12301" s="199"/>
      <c r="J12301" s="199"/>
    </row>
    <row r="12302" spans="9:10" x14ac:dyDescent="0.25">
      <c r="I12302" s="199"/>
      <c r="J12302" s="199"/>
    </row>
    <row r="12303" spans="9:10" x14ac:dyDescent="0.25">
      <c r="I12303" s="199"/>
      <c r="J12303" s="199"/>
    </row>
    <row r="12304" spans="9:10" x14ac:dyDescent="0.25">
      <c r="I12304" s="199"/>
      <c r="J12304" s="199"/>
    </row>
    <row r="12305" spans="9:10" x14ac:dyDescent="0.25">
      <c r="I12305" s="199"/>
      <c r="J12305" s="199"/>
    </row>
    <row r="12306" spans="9:10" x14ac:dyDescent="0.25">
      <c r="I12306" s="199"/>
      <c r="J12306" s="199"/>
    </row>
    <row r="12307" spans="9:10" x14ac:dyDescent="0.25">
      <c r="I12307" s="199"/>
      <c r="J12307" s="199"/>
    </row>
    <row r="12308" spans="9:10" x14ac:dyDescent="0.25">
      <c r="I12308" s="199"/>
      <c r="J12308" s="199"/>
    </row>
    <row r="12309" spans="9:10" x14ac:dyDescent="0.25">
      <c r="I12309" s="199"/>
      <c r="J12309" s="199"/>
    </row>
    <row r="12310" spans="9:10" x14ac:dyDescent="0.25">
      <c r="I12310" s="199"/>
      <c r="J12310" s="199"/>
    </row>
    <row r="12311" spans="9:10" x14ac:dyDescent="0.25">
      <c r="I12311" s="199"/>
      <c r="J12311" s="199"/>
    </row>
    <row r="12312" spans="9:10" x14ac:dyDescent="0.25">
      <c r="I12312" s="199"/>
      <c r="J12312" s="199"/>
    </row>
    <row r="12313" spans="9:10" x14ac:dyDescent="0.25">
      <c r="I12313" s="199"/>
      <c r="J12313" s="199"/>
    </row>
    <row r="12314" spans="9:10" x14ac:dyDescent="0.25">
      <c r="I12314" s="199"/>
      <c r="J12314" s="199"/>
    </row>
    <row r="12315" spans="9:10" x14ac:dyDescent="0.25">
      <c r="I12315" s="199"/>
      <c r="J12315" s="199"/>
    </row>
    <row r="12316" spans="9:10" x14ac:dyDescent="0.25">
      <c r="I12316" s="199"/>
      <c r="J12316" s="199"/>
    </row>
    <row r="12317" spans="9:10" x14ac:dyDescent="0.25">
      <c r="I12317" s="199"/>
      <c r="J12317" s="199"/>
    </row>
    <row r="12318" spans="9:10" x14ac:dyDescent="0.25">
      <c r="I12318" s="199"/>
      <c r="J12318" s="199"/>
    </row>
    <row r="12319" spans="9:10" x14ac:dyDescent="0.25">
      <c r="I12319" s="199"/>
      <c r="J12319" s="199"/>
    </row>
    <row r="12320" spans="9:10" x14ac:dyDescent="0.25">
      <c r="I12320" s="199"/>
      <c r="J12320" s="199"/>
    </row>
    <row r="12321" spans="9:10" x14ac:dyDescent="0.25">
      <c r="I12321" s="199"/>
      <c r="J12321" s="199"/>
    </row>
    <row r="12322" spans="9:10" x14ac:dyDescent="0.25">
      <c r="I12322" s="199"/>
      <c r="J12322" s="199"/>
    </row>
    <row r="12323" spans="9:10" x14ac:dyDescent="0.25">
      <c r="I12323" s="199"/>
      <c r="J12323" s="199"/>
    </row>
    <row r="12324" spans="9:10" x14ac:dyDescent="0.25">
      <c r="I12324" s="199"/>
      <c r="J12324" s="199"/>
    </row>
    <row r="12325" spans="9:10" x14ac:dyDescent="0.25">
      <c r="I12325" s="199"/>
      <c r="J12325" s="199"/>
    </row>
    <row r="12326" spans="9:10" x14ac:dyDescent="0.25">
      <c r="I12326" s="199"/>
      <c r="J12326" s="199"/>
    </row>
    <row r="12327" spans="9:10" x14ac:dyDescent="0.25">
      <c r="I12327" s="199"/>
      <c r="J12327" s="199"/>
    </row>
    <row r="12328" spans="9:10" x14ac:dyDescent="0.25">
      <c r="I12328" s="199"/>
      <c r="J12328" s="199"/>
    </row>
    <row r="12329" spans="9:10" x14ac:dyDescent="0.25">
      <c r="I12329" s="199"/>
      <c r="J12329" s="199"/>
    </row>
    <row r="12330" spans="9:10" x14ac:dyDescent="0.25">
      <c r="I12330" s="199"/>
      <c r="J12330" s="199"/>
    </row>
    <row r="12331" spans="9:10" x14ac:dyDescent="0.25">
      <c r="I12331" s="199"/>
      <c r="J12331" s="199"/>
    </row>
    <row r="12332" spans="9:10" x14ac:dyDescent="0.25">
      <c r="I12332" s="199"/>
      <c r="J12332" s="199"/>
    </row>
    <row r="12333" spans="9:10" x14ac:dyDescent="0.25">
      <c r="I12333" s="199"/>
      <c r="J12333" s="199"/>
    </row>
    <row r="12334" spans="9:10" x14ac:dyDescent="0.25">
      <c r="I12334" s="199"/>
      <c r="J12334" s="199"/>
    </row>
    <row r="12335" spans="9:10" x14ac:dyDescent="0.25">
      <c r="I12335" s="199"/>
      <c r="J12335" s="199"/>
    </row>
    <row r="12336" spans="9:10" x14ac:dyDescent="0.25">
      <c r="I12336" s="199"/>
      <c r="J12336" s="199"/>
    </row>
    <row r="12337" spans="9:10" x14ac:dyDescent="0.25">
      <c r="I12337" s="199"/>
      <c r="J12337" s="199"/>
    </row>
    <row r="12338" spans="9:10" x14ac:dyDescent="0.25">
      <c r="I12338" s="199"/>
      <c r="J12338" s="199"/>
    </row>
    <row r="12339" spans="9:10" x14ac:dyDescent="0.25">
      <c r="I12339" s="199"/>
      <c r="J12339" s="199"/>
    </row>
    <row r="12340" spans="9:10" x14ac:dyDescent="0.25">
      <c r="I12340" s="199"/>
      <c r="J12340" s="199"/>
    </row>
    <row r="12341" spans="9:10" x14ac:dyDescent="0.25">
      <c r="I12341" s="199"/>
      <c r="J12341" s="199"/>
    </row>
    <row r="12342" spans="9:10" x14ac:dyDescent="0.25">
      <c r="I12342" s="199"/>
      <c r="J12342" s="199"/>
    </row>
    <row r="12343" spans="9:10" x14ac:dyDescent="0.25">
      <c r="I12343" s="199"/>
      <c r="J12343" s="199"/>
    </row>
    <row r="12344" spans="9:10" x14ac:dyDescent="0.25">
      <c r="I12344" s="199"/>
      <c r="J12344" s="199"/>
    </row>
    <row r="12345" spans="9:10" x14ac:dyDescent="0.25">
      <c r="I12345" s="199"/>
      <c r="J12345" s="199"/>
    </row>
    <row r="12346" spans="9:10" x14ac:dyDescent="0.25">
      <c r="I12346" s="199"/>
      <c r="J12346" s="199"/>
    </row>
    <row r="12347" spans="9:10" x14ac:dyDescent="0.25">
      <c r="I12347" s="199"/>
      <c r="J12347" s="199"/>
    </row>
    <row r="12348" spans="9:10" x14ac:dyDescent="0.25">
      <c r="I12348" s="199"/>
      <c r="J12348" s="199"/>
    </row>
    <row r="12349" spans="9:10" x14ac:dyDescent="0.25">
      <c r="I12349" s="199"/>
      <c r="J12349" s="199"/>
    </row>
    <row r="12350" spans="9:10" x14ac:dyDescent="0.25">
      <c r="I12350" s="199"/>
      <c r="J12350" s="199"/>
    </row>
    <row r="12351" spans="9:10" x14ac:dyDescent="0.25">
      <c r="I12351" s="199"/>
      <c r="J12351" s="199"/>
    </row>
    <row r="12352" spans="9:10" x14ac:dyDescent="0.25">
      <c r="I12352" s="199"/>
      <c r="J12352" s="199"/>
    </row>
    <row r="12353" spans="9:10" x14ac:dyDescent="0.25">
      <c r="I12353" s="199"/>
      <c r="J12353" s="199"/>
    </row>
    <row r="12354" spans="9:10" x14ac:dyDescent="0.25">
      <c r="I12354" s="199"/>
      <c r="J12354" s="199"/>
    </row>
    <row r="12355" spans="9:10" x14ac:dyDescent="0.25">
      <c r="I12355" s="199"/>
      <c r="J12355" s="199"/>
    </row>
    <row r="12356" spans="9:10" x14ac:dyDescent="0.25">
      <c r="I12356" s="199"/>
      <c r="J12356" s="199"/>
    </row>
    <row r="12357" spans="9:10" x14ac:dyDescent="0.25">
      <c r="I12357" s="199"/>
      <c r="J12357" s="199"/>
    </row>
    <row r="12358" spans="9:10" x14ac:dyDescent="0.25">
      <c r="I12358" s="199"/>
      <c r="J12358" s="199"/>
    </row>
    <row r="12359" spans="9:10" x14ac:dyDescent="0.25">
      <c r="I12359" s="199"/>
      <c r="J12359" s="199"/>
    </row>
    <row r="12360" spans="9:10" x14ac:dyDescent="0.25">
      <c r="I12360" s="199"/>
      <c r="J12360" s="199"/>
    </row>
    <row r="12361" spans="9:10" x14ac:dyDescent="0.25">
      <c r="I12361" s="199"/>
      <c r="J12361" s="199"/>
    </row>
    <row r="12362" spans="9:10" x14ac:dyDescent="0.25">
      <c r="I12362" s="199"/>
      <c r="J12362" s="199"/>
    </row>
    <row r="12363" spans="9:10" x14ac:dyDescent="0.25">
      <c r="I12363" s="199"/>
      <c r="J12363" s="199"/>
    </row>
    <row r="12364" spans="9:10" x14ac:dyDescent="0.25">
      <c r="I12364" s="199"/>
      <c r="J12364" s="199"/>
    </row>
    <row r="12365" spans="9:10" x14ac:dyDescent="0.25">
      <c r="I12365" s="199"/>
      <c r="J12365" s="199"/>
    </row>
    <row r="12366" spans="9:10" x14ac:dyDescent="0.25">
      <c r="I12366" s="199"/>
      <c r="J12366" s="199"/>
    </row>
    <row r="12367" spans="9:10" x14ac:dyDescent="0.25">
      <c r="I12367" s="199"/>
      <c r="J12367" s="199"/>
    </row>
    <row r="12368" spans="9:10" x14ac:dyDescent="0.25">
      <c r="I12368" s="199"/>
      <c r="J12368" s="199"/>
    </row>
    <row r="12369" spans="9:10" x14ac:dyDescent="0.25">
      <c r="I12369" s="199"/>
      <c r="J12369" s="199"/>
    </row>
    <row r="12370" spans="9:10" x14ac:dyDescent="0.25">
      <c r="I12370" s="199"/>
      <c r="J12370" s="199"/>
    </row>
    <row r="12371" spans="9:10" x14ac:dyDescent="0.25">
      <c r="I12371" s="199"/>
      <c r="J12371" s="199"/>
    </row>
    <row r="12372" spans="9:10" x14ac:dyDescent="0.25">
      <c r="I12372" s="199"/>
      <c r="J12372" s="199"/>
    </row>
    <row r="12373" spans="9:10" x14ac:dyDescent="0.25">
      <c r="I12373" s="199"/>
      <c r="J12373" s="199"/>
    </row>
    <row r="12374" spans="9:10" x14ac:dyDescent="0.25">
      <c r="I12374" s="199"/>
      <c r="J12374" s="199"/>
    </row>
    <row r="12375" spans="9:10" x14ac:dyDescent="0.25">
      <c r="I12375" s="199"/>
      <c r="J12375" s="199"/>
    </row>
    <row r="12376" spans="9:10" x14ac:dyDescent="0.25">
      <c r="I12376" s="199"/>
      <c r="J12376" s="199"/>
    </row>
    <row r="12377" spans="9:10" x14ac:dyDescent="0.25">
      <c r="I12377" s="199"/>
      <c r="J12377" s="199"/>
    </row>
    <row r="12378" spans="9:10" x14ac:dyDescent="0.25">
      <c r="I12378" s="199"/>
      <c r="J12378" s="199"/>
    </row>
    <row r="12379" spans="9:10" x14ac:dyDescent="0.25">
      <c r="I12379" s="199"/>
      <c r="J12379" s="199"/>
    </row>
    <row r="12380" spans="9:10" x14ac:dyDescent="0.25">
      <c r="I12380" s="199"/>
      <c r="J12380" s="199"/>
    </row>
    <row r="12381" spans="9:10" x14ac:dyDescent="0.25">
      <c r="I12381" s="199"/>
      <c r="J12381" s="199"/>
    </row>
    <row r="12382" spans="9:10" x14ac:dyDescent="0.25">
      <c r="I12382" s="199"/>
      <c r="J12382" s="199"/>
    </row>
    <row r="12383" spans="9:10" x14ac:dyDescent="0.25">
      <c r="I12383" s="199"/>
      <c r="J12383" s="199"/>
    </row>
    <row r="12384" spans="9:10" x14ac:dyDescent="0.25">
      <c r="I12384" s="199"/>
      <c r="J12384" s="199"/>
    </row>
    <row r="12385" spans="9:10" x14ac:dyDescent="0.25">
      <c r="I12385" s="199"/>
      <c r="J12385" s="199"/>
    </row>
    <row r="12386" spans="9:10" x14ac:dyDescent="0.25">
      <c r="I12386" s="199"/>
      <c r="J12386" s="199"/>
    </row>
    <row r="12387" spans="9:10" x14ac:dyDescent="0.25">
      <c r="I12387" s="199"/>
      <c r="J12387" s="199"/>
    </row>
    <row r="12388" spans="9:10" x14ac:dyDescent="0.25">
      <c r="I12388" s="199"/>
      <c r="J12388" s="199"/>
    </row>
    <row r="12389" spans="9:10" x14ac:dyDescent="0.25">
      <c r="I12389" s="199"/>
      <c r="J12389" s="199"/>
    </row>
    <row r="12390" spans="9:10" x14ac:dyDescent="0.25">
      <c r="I12390" s="199"/>
      <c r="J12390" s="199"/>
    </row>
    <row r="12391" spans="9:10" x14ac:dyDescent="0.25">
      <c r="I12391" s="199"/>
      <c r="J12391" s="199"/>
    </row>
    <row r="12392" spans="9:10" x14ac:dyDescent="0.25">
      <c r="I12392" s="199"/>
      <c r="J12392" s="199"/>
    </row>
    <row r="12393" spans="9:10" x14ac:dyDescent="0.25">
      <c r="I12393" s="199"/>
      <c r="J12393" s="199"/>
    </row>
    <row r="12394" spans="9:10" x14ac:dyDescent="0.25">
      <c r="I12394" s="199"/>
      <c r="J12394" s="199"/>
    </row>
    <row r="12395" spans="9:10" x14ac:dyDescent="0.25">
      <c r="I12395" s="199"/>
      <c r="J12395" s="199"/>
    </row>
    <row r="12396" spans="9:10" x14ac:dyDescent="0.25">
      <c r="I12396" s="199"/>
      <c r="J12396" s="199"/>
    </row>
    <row r="12397" spans="9:10" x14ac:dyDescent="0.25">
      <c r="I12397" s="199"/>
      <c r="J12397" s="199"/>
    </row>
    <row r="12398" spans="9:10" x14ac:dyDescent="0.25">
      <c r="I12398" s="199"/>
      <c r="J12398" s="199"/>
    </row>
    <row r="12399" spans="9:10" x14ac:dyDescent="0.25">
      <c r="I12399" s="199"/>
      <c r="J12399" s="199"/>
    </row>
    <row r="12400" spans="9:10" x14ac:dyDescent="0.25">
      <c r="I12400" s="199"/>
      <c r="J12400" s="199"/>
    </row>
    <row r="12401" spans="9:10" x14ac:dyDescent="0.25">
      <c r="I12401" s="199"/>
      <c r="J12401" s="199"/>
    </row>
    <row r="12402" spans="9:10" x14ac:dyDescent="0.25">
      <c r="I12402" s="199"/>
      <c r="J12402" s="199"/>
    </row>
    <row r="12403" spans="9:10" x14ac:dyDescent="0.25">
      <c r="I12403" s="199"/>
      <c r="J12403" s="199"/>
    </row>
    <row r="12404" spans="9:10" x14ac:dyDescent="0.25">
      <c r="I12404" s="199"/>
      <c r="J12404" s="199"/>
    </row>
    <row r="12405" spans="9:10" x14ac:dyDescent="0.25">
      <c r="I12405" s="199"/>
      <c r="J12405" s="199"/>
    </row>
    <row r="12406" spans="9:10" x14ac:dyDescent="0.25">
      <c r="I12406" s="199"/>
      <c r="J12406" s="199"/>
    </row>
    <row r="12407" spans="9:10" x14ac:dyDescent="0.25">
      <c r="I12407" s="199"/>
      <c r="J12407" s="199"/>
    </row>
    <row r="12408" spans="9:10" x14ac:dyDescent="0.25">
      <c r="I12408" s="199"/>
      <c r="J12408" s="199"/>
    </row>
    <row r="12409" spans="9:10" x14ac:dyDescent="0.25">
      <c r="I12409" s="199"/>
      <c r="J12409" s="199"/>
    </row>
    <row r="12410" spans="9:10" x14ac:dyDescent="0.25">
      <c r="I12410" s="199"/>
      <c r="J12410" s="199"/>
    </row>
    <row r="12411" spans="9:10" x14ac:dyDescent="0.25">
      <c r="I12411" s="199"/>
      <c r="J12411" s="199"/>
    </row>
    <row r="12412" spans="9:10" x14ac:dyDescent="0.25">
      <c r="I12412" s="199"/>
      <c r="J12412" s="199"/>
    </row>
    <row r="12413" spans="9:10" x14ac:dyDescent="0.25">
      <c r="I12413" s="199"/>
      <c r="J12413" s="199"/>
    </row>
    <row r="12414" spans="9:10" x14ac:dyDescent="0.25">
      <c r="I12414" s="199"/>
      <c r="J12414" s="199"/>
    </row>
    <row r="12415" spans="9:10" x14ac:dyDescent="0.25">
      <c r="I12415" s="199"/>
      <c r="J12415" s="199"/>
    </row>
    <row r="12416" spans="9:10" x14ac:dyDescent="0.25">
      <c r="I12416" s="199"/>
      <c r="J12416" s="199"/>
    </row>
    <row r="12417" spans="9:10" x14ac:dyDescent="0.25">
      <c r="I12417" s="199"/>
      <c r="J12417" s="199"/>
    </row>
    <row r="12418" spans="9:10" x14ac:dyDescent="0.25">
      <c r="I12418" s="199"/>
      <c r="J12418" s="199"/>
    </row>
    <row r="12419" spans="9:10" x14ac:dyDescent="0.25">
      <c r="I12419" s="199"/>
      <c r="J12419" s="199"/>
    </row>
    <row r="12420" spans="9:10" x14ac:dyDescent="0.25">
      <c r="I12420" s="199"/>
      <c r="J12420" s="199"/>
    </row>
    <row r="12421" spans="9:10" x14ac:dyDescent="0.25">
      <c r="I12421" s="199"/>
      <c r="J12421" s="199"/>
    </row>
    <row r="12422" spans="9:10" x14ac:dyDescent="0.25">
      <c r="I12422" s="199"/>
      <c r="J12422" s="199"/>
    </row>
    <row r="12423" spans="9:10" x14ac:dyDescent="0.25">
      <c r="I12423" s="199"/>
      <c r="J12423" s="199"/>
    </row>
    <row r="12424" spans="9:10" x14ac:dyDescent="0.25">
      <c r="I12424" s="199"/>
      <c r="J12424" s="199"/>
    </row>
    <row r="12425" spans="9:10" x14ac:dyDescent="0.25">
      <c r="I12425" s="199"/>
      <c r="J12425" s="199"/>
    </row>
    <row r="12426" spans="9:10" x14ac:dyDescent="0.25">
      <c r="I12426" s="199"/>
      <c r="J12426" s="199"/>
    </row>
    <row r="12427" spans="9:10" x14ac:dyDescent="0.25">
      <c r="I12427" s="199"/>
      <c r="J12427" s="199"/>
    </row>
    <row r="12428" spans="9:10" x14ac:dyDescent="0.25">
      <c r="I12428" s="199"/>
      <c r="J12428" s="199"/>
    </row>
    <row r="12429" spans="9:10" x14ac:dyDescent="0.25">
      <c r="I12429" s="199"/>
      <c r="J12429" s="199"/>
    </row>
    <row r="12430" spans="9:10" x14ac:dyDescent="0.25">
      <c r="I12430" s="199"/>
      <c r="J12430" s="199"/>
    </row>
    <row r="12431" spans="9:10" x14ac:dyDescent="0.25">
      <c r="I12431" s="199"/>
      <c r="J12431" s="199"/>
    </row>
    <row r="12432" spans="9:10" x14ac:dyDescent="0.25">
      <c r="I12432" s="199"/>
      <c r="J12432" s="199"/>
    </row>
    <row r="12433" spans="9:10" x14ac:dyDescent="0.25">
      <c r="I12433" s="199"/>
      <c r="J12433" s="199"/>
    </row>
    <row r="12434" spans="9:10" x14ac:dyDescent="0.25">
      <c r="I12434" s="199"/>
      <c r="J12434" s="199"/>
    </row>
    <row r="12435" spans="9:10" x14ac:dyDescent="0.25">
      <c r="I12435" s="199"/>
      <c r="J12435" s="199"/>
    </row>
    <row r="12436" spans="9:10" x14ac:dyDescent="0.25">
      <c r="I12436" s="199"/>
      <c r="J12436" s="199"/>
    </row>
    <row r="12437" spans="9:10" x14ac:dyDescent="0.25">
      <c r="I12437" s="199"/>
      <c r="J12437" s="199"/>
    </row>
    <row r="12438" spans="9:10" x14ac:dyDescent="0.25">
      <c r="I12438" s="199"/>
      <c r="J12438" s="199"/>
    </row>
    <row r="12439" spans="9:10" x14ac:dyDescent="0.25">
      <c r="I12439" s="199"/>
      <c r="J12439" s="199"/>
    </row>
    <row r="12440" spans="9:10" x14ac:dyDescent="0.25">
      <c r="I12440" s="199"/>
      <c r="J12440" s="199"/>
    </row>
    <row r="12441" spans="9:10" x14ac:dyDescent="0.25">
      <c r="I12441" s="199"/>
      <c r="J12441" s="199"/>
    </row>
    <row r="12442" spans="9:10" x14ac:dyDescent="0.25">
      <c r="I12442" s="199"/>
      <c r="J12442" s="199"/>
    </row>
    <row r="12443" spans="9:10" x14ac:dyDescent="0.25">
      <c r="I12443" s="199"/>
      <c r="J12443" s="199"/>
    </row>
    <row r="12444" spans="9:10" x14ac:dyDescent="0.25">
      <c r="I12444" s="199"/>
      <c r="J12444" s="199"/>
    </row>
    <row r="12445" spans="9:10" x14ac:dyDescent="0.25">
      <c r="I12445" s="199"/>
      <c r="J12445" s="199"/>
    </row>
    <row r="12446" spans="9:10" x14ac:dyDescent="0.25">
      <c r="I12446" s="199"/>
      <c r="J12446" s="199"/>
    </row>
    <row r="12447" spans="9:10" x14ac:dyDescent="0.25">
      <c r="I12447" s="199"/>
      <c r="J12447" s="199"/>
    </row>
    <row r="12448" spans="9:10" x14ac:dyDescent="0.25">
      <c r="I12448" s="199"/>
      <c r="J12448" s="199"/>
    </row>
    <row r="12449" spans="9:10" x14ac:dyDescent="0.25">
      <c r="I12449" s="199"/>
      <c r="J12449" s="199"/>
    </row>
    <row r="12450" spans="9:10" x14ac:dyDescent="0.25">
      <c r="I12450" s="199"/>
      <c r="J12450" s="199"/>
    </row>
    <row r="12451" spans="9:10" x14ac:dyDescent="0.25">
      <c r="I12451" s="199"/>
      <c r="J12451" s="199"/>
    </row>
    <row r="12452" spans="9:10" x14ac:dyDescent="0.25">
      <c r="I12452" s="199"/>
      <c r="J12452" s="199"/>
    </row>
    <row r="12453" spans="9:10" x14ac:dyDescent="0.25">
      <c r="I12453" s="199"/>
      <c r="J12453" s="199"/>
    </row>
    <row r="12454" spans="9:10" x14ac:dyDescent="0.25">
      <c r="I12454" s="199"/>
      <c r="J12454" s="199"/>
    </row>
    <row r="12455" spans="9:10" x14ac:dyDescent="0.25">
      <c r="I12455" s="199"/>
      <c r="J12455" s="199"/>
    </row>
    <row r="12456" spans="9:10" x14ac:dyDescent="0.25">
      <c r="I12456" s="199"/>
      <c r="J12456" s="199"/>
    </row>
    <row r="12457" spans="9:10" x14ac:dyDescent="0.25">
      <c r="I12457" s="199"/>
      <c r="J12457" s="199"/>
    </row>
    <row r="12458" spans="9:10" x14ac:dyDescent="0.25">
      <c r="I12458" s="199"/>
      <c r="J12458" s="199"/>
    </row>
    <row r="12459" spans="9:10" x14ac:dyDescent="0.25">
      <c r="I12459" s="199"/>
      <c r="J12459" s="199"/>
    </row>
    <row r="12460" spans="9:10" x14ac:dyDescent="0.25">
      <c r="I12460" s="199"/>
      <c r="J12460" s="199"/>
    </row>
    <row r="12461" spans="9:10" x14ac:dyDescent="0.25">
      <c r="I12461" s="199"/>
      <c r="J12461" s="199"/>
    </row>
    <row r="12462" spans="9:10" x14ac:dyDescent="0.25">
      <c r="I12462" s="199"/>
      <c r="J12462" s="199"/>
    </row>
    <row r="12463" spans="9:10" x14ac:dyDescent="0.25">
      <c r="I12463" s="199"/>
      <c r="J12463" s="199"/>
    </row>
    <row r="12464" spans="9:10" x14ac:dyDescent="0.25">
      <c r="I12464" s="199"/>
      <c r="J12464" s="199"/>
    </row>
    <row r="12465" spans="9:10" x14ac:dyDescent="0.25">
      <c r="I12465" s="199"/>
      <c r="J12465" s="199"/>
    </row>
    <row r="12466" spans="9:10" x14ac:dyDescent="0.25">
      <c r="I12466" s="199"/>
      <c r="J12466" s="199"/>
    </row>
    <row r="12467" spans="9:10" x14ac:dyDescent="0.25">
      <c r="I12467" s="199"/>
      <c r="J12467" s="199"/>
    </row>
    <row r="12468" spans="9:10" x14ac:dyDescent="0.25">
      <c r="I12468" s="199"/>
      <c r="J12468" s="199"/>
    </row>
    <row r="12469" spans="9:10" x14ac:dyDescent="0.25">
      <c r="I12469" s="199"/>
      <c r="J12469" s="199"/>
    </row>
    <row r="12470" spans="9:10" x14ac:dyDescent="0.25">
      <c r="I12470" s="199"/>
      <c r="J12470" s="199"/>
    </row>
    <row r="12471" spans="9:10" x14ac:dyDescent="0.25">
      <c r="I12471" s="199"/>
      <c r="J12471" s="199"/>
    </row>
    <row r="12472" spans="9:10" x14ac:dyDescent="0.25">
      <c r="I12472" s="199"/>
      <c r="J12472" s="199"/>
    </row>
    <row r="12473" spans="9:10" x14ac:dyDescent="0.25">
      <c r="I12473" s="199"/>
      <c r="J12473" s="199"/>
    </row>
    <row r="12474" spans="9:10" x14ac:dyDescent="0.25">
      <c r="I12474" s="199"/>
      <c r="J12474" s="199"/>
    </row>
    <row r="12475" spans="9:10" x14ac:dyDescent="0.25">
      <c r="I12475" s="199"/>
      <c r="J12475" s="199"/>
    </row>
    <row r="12476" spans="9:10" x14ac:dyDescent="0.25">
      <c r="I12476" s="199"/>
      <c r="J12476" s="199"/>
    </row>
    <row r="12477" spans="9:10" x14ac:dyDescent="0.25">
      <c r="I12477" s="199"/>
      <c r="J12477" s="199"/>
    </row>
    <row r="12478" spans="9:10" x14ac:dyDescent="0.25">
      <c r="I12478" s="199"/>
      <c r="J12478" s="199"/>
    </row>
    <row r="12479" spans="9:10" x14ac:dyDescent="0.25">
      <c r="I12479" s="199"/>
      <c r="J12479" s="199"/>
    </row>
    <row r="12480" spans="9:10" x14ac:dyDescent="0.25">
      <c r="I12480" s="199"/>
      <c r="J12480" s="199"/>
    </row>
    <row r="12481" spans="9:10" x14ac:dyDescent="0.25">
      <c r="I12481" s="199"/>
      <c r="J12481" s="199"/>
    </row>
    <row r="12482" spans="9:10" x14ac:dyDescent="0.25">
      <c r="I12482" s="199"/>
      <c r="J12482" s="199"/>
    </row>
    <row r="12483" spans="9:10" x14ac:dyDescent="0.25">
      <c r="I12483" s="199"/>
      <c r="J12483" s="199"/>
    </row>
    <row r="12484" spans="9:10" x14ac:dyDescent="0.25">
      <c r="I12484" s="199"/>
      <c r="J12484" s="199"/>
    </row>
    <row r="12485" spans="9:10" x14ac:dyDescent="0.25">
      <c r="I12485" s="199"/>
      <c r="J12485" s="199"/>
    </row>
    <row r="12486" spans="9:10" x14ac:dyDescent="0.25">
      <c r="I12486" s="199"/>
      <c r="J12486" s="199"/>
    </row>
    <row r="12487" spans="9:10" x14ac:dyDescent="0.25">
      <c r="I12487" s="199"/>
      <c r="J12487" s="199"/>
    </row>
    <row r="12488" spans="9:10" x14ac:dyDescent="0.25">
      <c r="I12488" s="199"/>
      <c r="J12488" s="199"/>
    </row>
    <row r="12489" spans="9:10" x14ac:dyDescent="0.25">
      <c r="I12489" s="199"/>
      <c r="J12489" s="199"/>
    </row>
    <row r="12490" spans="9:10" x14ac:dyDescent="0.25">
      <c r="I12490" s="199"/>
      <c r="J12490" s="199"/>
    </row>
    <row r="12491" spans="9:10" x14ac:dyDescent="0.25">
      <c r="I12491" s="199"/>
      <c r="J12491" s="199"/>
    </row>
    <row r="12492" spans="9:10" x14ac:dyDescent="0.25">
      <c r="I12492" s="199"/>
      <c r="J12492" s="199"/>
    </row>
    <row r="12493" spans="9:10" x14ac:dyDescent="0.25">
      <c r="I12493" s="199"/>
      <c r="J12493" s="199"/>
    </row>
    <row r="12494" spans="9:10" x14ac:dyDescent="0.25">
      <c r="I12494" s="199"/>
      <c r="J12494" s="199"/>
    </row>
    <row r="12495" spans="9:10" x14ac:dyDescent="0.25">
      <c r="I12495" s="199"/>
      <c r="J12495" s="199"/>
    </row>
    <row r="12496" spans="9:10" x14ac:dyDescent="0.25">
      <c r="I12496" s="199"/>
      <c r="J12496" s="199"/>
    </row>
    <row r="12497" spans="9:10" x14ac:dyDescent="0.25">
      <c r="I12497" s="199"/>
      <c r="J12497" s="199"/>
    </row>
    <row r="12498" spans="9:10" x14ac:dyDescent="0.25">
      <c r="I12498" s="199"/>
      <c r="J12498" s="199"/>
    </row>
    <row r="12499" spans="9:10" x14ac:dyDescent="0.25">
      <c r="I12499" s="199"/>
      <c r="J12499" s="199"/>
    </row>
    <row r="12500" spans="9:10" x14ac:dyDescent="0.25">
      <c r="I12500" s="199"/>
      <c r="J12500" s="199"/>
    </row>
    <row r="12501" spans="9:10" x14ac:dyDescent="0.25">
      <c r="I12501" s="199"/>
      <c r="J12501" s="199"/>
    </row>
    <row r="12502" spans="9:10" x14ac:dyDescent="0.25">
      <c r="I12502" s="199"/>
      <c r="J12502" s="199"/>
    </row>
    <row r="12503" spans="9:10" x14ac:dyDescent="0.25">
      <c r="I12503" s="199"/>
      <c r="J12503" s="199"/>
    </row>
    <row r="12504" spans="9:10" x14ac:dyDescent="0.25">
      <c r="I12504" s="199"/>
      <c r="J12504" s="199"/>
    </row>
    <row r="12505" spans="9:10" x14ac:dyDescent="0.25">
      <c r="I12505" s="199"/>
      <c r="J12505" s="199"/>
    </row>
    <row r="12506" spans="9:10" x14ac:dyDescent="0.25">
      <c r="I12506" s="199"/>
      <c r="J12506" s="199"/>
    </row>
    <row r="12507" spans="9:10" x14ac:dyDescent="0.25">
      <c r="I12507" s="199"/>
      <c r="J12507" s="199"/>
    </row>
    <row r="12508" spans="9:10" x14ac:dyDescent="0.25">
      <c r="I12508" s="199"/>
      <c r="J12508" s="199"/>
    </row>
    <row r="12509" spans="9:10" x14ac:dyDescent="0.25">
      <c r="I12509" s="199"/>
      <c r="J12509" s="199"/>
    </row>
    <row r="12510" spans="9:10" x14ac:dyDescent="0.25">
      <c r="I12510" s="199"/>
      <c r="J12510" s="199"/>
    </row>
    <row r="12511" spans="9:10" x14ac:dyDescent="0.25">
      <c r="I12511" s="199"/>
      <c r="J12511" s="199"/>
    </row>
    <row r="12512" spans="9:10" x14ac:dyDescent="0.25">
      <c r="I12512" s="199"/>
      <c r="J12512" s="199"/>
    </row>
    <row r="12513" spans="9:10" x14ac:dyDescent="0.25">
      <c r="I12513" s="199"/>
      <c r="J12513" s="199"/>
    </row>
    <row r="12514" spans="9:10" x14ac:dyDescent="0.25">
      <c r="I12514" s="199"/>
      <c r="J12514" s="199"/>
    </row>
    <row r="12515" spans="9:10" x14ac:dyDescent="0.25">
      <c r="I12515" s="199"/>
      <c r="J12515" s="199"/>
    </row>
    <row r="12516" spans="9:10" x14ac:dyDescent="0.25">
      <c r="I12516" s="199"/>
      <c r="J12516" s="199"/>
    </row>
    <row r="12517" spans="9:10" x14ac:dyDescent="0.25">
      <c r="I12517" s="199"/>
      <c r="J12517" s="199"/>
    </row>
    <row r="12518" spans="9:10" x14ac:dyDescent="0.25">
      <c r="I12518" s="199"/>
      <c r="J12518" s="199"/>
    </row>
    <row r="12519" spans="9:10" x14ac:dyDescent="0.25">
      <c r="I12519" s="199"/>
      <c r="J12519" s="199"/>
    </row>
    <row r="12520" spans="9:10" x14ac:dyDescent="0.25">
      <c r="I12520" s="199"/>
      <c r="J12520" s="199"/>
    </row>
    <row r="12521" spans="9:10" x14ac:dyDescent="0.25">
      <c r="I12521" s="199"/>
      <c r="J12521" s="199"/>
    </row>
    <row r="12522" spans="9:10" x14ac:dyDescent="0.25">
      <c r="I12522" s="199"/>
      <c r="J12522" s="199"/>
    </row>
    <row r="12523" spans="9:10" x14ac:dyDescent="0.25">
      <c r="I12523" s="199"/>
      <c r="J12523" s="199"/>
    </row>
    <row r="12524" spans="9:10" x14ac:dyDescent="0.25">
      <c r="I12524" s="199"/>
      <c r="J12524" s="199"/>
    </row>
    <row r="12525" spans="9:10" x14ac:dyDescent="0.25">
      <c r="I12525" s="199"/>
      <c r="J12525" s="199"/>
    </row>
    <row r="12526" spans="9:10" x14ac:dyDescent="0.25">
      <c r="I12526" s="199"/>
      <c r="J12526" s="199"/>
    </row>
    <row r="12527" spans="9:10" x14ac:dyDescent="0.25">
      <c r="I12527" s="199"/>
      <c r="J12527" s="199"/>
    </row>
    <row r="12528" spans="9:10" x14ac:dyDescent="0.25">
      <c r="I12528" s="199"/>
      <c r="J12528" s="199"/>
    </row>
    <row r="12529" spans="9:10" x14ac:dyDescent="0.25">
      <c r="I12529" s="199"/>
      <c r="J12529" s="199"/>
    </row>
    <row r="12530" spans="9:10" x14ac:dyDescent="0.25">
      <c r="I12530" s="199"/>
      <c r="J12530" s="199"/>
    </row>
    <row r="12531" spans="9:10" x14ac:dyDescent="0.25">
      <c r="I12531" s="199"/>
      <c r="J12531" s="199"/>
    </row>
    <row r="12532" spans="9:10" x14ac:dyDescent="0.25">
      <c r="I12532" s="199"/>
      <c r="J12532" s="199"/>
    </row>
    <row r="12533" spans="9:10" x14ac:dyDescent="0.25">
      <c r="I12533" s="199"/>
      <c r="J12533" s="199"/>
    </row>
    <row r="12534" spans="9:10" x14ac:dyDescent="0.25">
      <c r="I12534" s="199"/>
      <c r="J12534" s="199"/>
    </row>
    <row r="12535" spans="9:10" x14ac:dyDescent="0.25">
      <c r="I12535" s="199"/>
      <c r="J12535" s="199"/>
    </row>
    <row r="12536" spans="9:10" x14ac:dyDescent="0.25">
      <c r="I12536" s="199"/>
      <c r="J12536" s="199"/>
    </row>
    <row r="12537" spans="9:10" x14ac:dyDescent="0.25">
      <c r="I12537" s="199"/>
      <c r="J12537" s="199"/>
    </row>
    <row r="12538" spans="9:10" x14ac:dyDescent="0.25">
      <c r="I12538" s="199"/>
      <c r="J12538" s="199"/>
    </row>
    <row r="12539" spans="9:10" x14ac:dyDescent="0.25">
      <c r="I12539" s="199"/>
      <c r="J12539" s="199"/>
    </row>
    <row r="12540" spans="9:10" x14ac:dyDescent="0.25">
      <c r="I12540" s="199"/>
      <c r="J12540" s="199"/>
    </row>
    <row r="12541" spans="9:10" x14ac:dyDescent="0.25">
      <c r="I12541" s="199"/>
      <c r="J12541" s="199"/>
    </row>
    <row r="12542" spans="9:10" x14ac:dyDescent="0.25">
      <c r="I12542" s="199"/>
      <c r="J12542" s="199"/>
    </row>
    <row r="12543" spans="9:10" x14ac:dyDescent="0.25">
      <c r="I12543" s="199"/>
      <c r="J12543" s="199"/>
    </row>
    <row r="12544" spans="9:10" x14ac:dyDescent="0.25">
      <c r="I12544" s="199"/>
      <c r="J12544" s="199"/>
    </row>
    <row r="12545" spans="9:10" x14ac:dyDescent="0.25">
      <c r="I12545" s="199"/>
      <c r="J12545" s="199"/>
    </row>
    <row r="12546" spans="9:10" x14ac:dyDescent="0.25">
      <c r="I12546" s="199"/>
      <c r="J12546" s="199"/>
    </row>
    <row r="12547" spans="9:10" x14ac:dyDescent="0.25">
      <c r="I12547" s="199"/>
      <c r="J12547" s="199"/>
    </row>
    <row r="12548" spans="9:10" x14ac:dyDescent="0.25">
      <c r="I12548" s="199"/>
      <c r="J12548" s="199"/>
    </row>
    <row r="12549" spans="9:10" x14ac:dyDescent="0.25">
      <c r="I12549" s="199"/>
      <c r="J12549" s="199"/>
    </row>
    <row r="12550" spans="9:10" x14ac:dyDescent="0.25">
      <c r="I12550" s="199"/>
      <c r="J12550" s="199"/>
    </row>
    <row r="12551" spans="9:10" x14ac:dyDescent="0.25">
      <c r="I12551" s="199"/>
      <c r="J12551" s="199"/>
    </row>
    <row r="12552" spans="9:10" x14ac:dyDescent="0.25">
      <c r="I12552" s="199"/>
      <c r="J12552" s="199"/>
    </row>
    <row r="12553" spans="9:10" x14ac:dyDescent="0.25">
      <c r="I12553" s="199"/>
      <c r="J12553" s="199"/>
    </row>
    <row r="12554" spans="9:10" x14ac:dyDescent="0.25">
      <c r="I12554" s="199"/>
      <c r="J12554" s="199"/>
    </row>
    <row r="12555" spans="9:10" x14ac:dyDescent="0.25">
      <c r="I12555" s="199"/>
      <c r="J12555" s="199"/>
    </row>
    <row r="12556" spans="9:10" x14ac:dyDescent="0.25">
      <c r="I12556" s="199"/>
      <c r="J12556" s="199"/>
    </row>
    <row r="12557" spans="9:10" x14ac:dyDescent="0.25">
      <c r="I12557" s="199"/>
      <c r="J12557" s="199"/>
    </row>
    <row r="12558" spans="9:10" x14ac:dyDescent="0.25">
      <c r="I12558" s="199"/>
      <c r="J12558" s="199"/>
    </row>
    <row r="12559" spans="9:10" x14ac:dyDescent="0.25">
      <c r="I12559" s="199"/>
      <c r="J12559" s="199"/>
    </row>
    <row r="12560" spans="9:10" x14ac:dyDescent="0.25">
      <c r="I12560" s="199"/>
      <c r="J12560" s="199"/>
    </row>
    <row r="12561" spans="9:10" x14ac:dyDescent="0.25">
      <c r="I12561" s="199"/>
      <c r="J12561" s="199"/>
    </row>
    <row r="12562" spans="9:10" x14ac:dyDescent="0.25">
      <c r="I12562" s="199"/>
      <c r="J12562" s="199"/>
    </row>
    <row r="12563" spans="9:10" x14ac:dyDescent="0.25">
      <c r="I12563" s="199"/>
      <c r="J12563" s="199"/>
    </row>
    <row r="12564" spans="9:10" x14ac:dyDescent="0.25">
      <c r="I12564" s="199"/>
      <c r="J12564" s="199"/>
    </row>
    <row r="12565" spans="9:10" x14ac:dyDescent="0.25">
      <c r="I12565" s="199"/>
      <c r="J12565" s="199"/>
    </row>
    <row r="12566" spans="9:10" x14ac:dyDescent="0.25">
      <c r="I12566" s="199"/>
      <c r="J12566" s="199"/>
    </row>
    <row r="12567" spans="9:10" x14ac:dyDescent="0.25">
      <c r="I12567" s="199"/>
      <c r="J12567" s="199"/>
    </row>
    <row r="12568" spans="9:10" x14ac:dyDescent="0.25">
      <c r="I12568" s="199"/>
      <c r="J12568" s="199"/>
    </row>
    <row r="12569" spans="9:10" x14ac:dyDescent="0.25">
      <c r="I12569" s="199"/>
      <c r="J12569" s="199"/>
    </row>
    <row r="12570" spans="9:10" x14ac:dyDescent="0.25">
      <c r="I12570" s="199"/>
      <c r="J12570" s="199"/>
    </row>
    <row r="12571" spans="9:10" x14ac:dyDescent="0.25">
      <c r="I12571" s="199"/>
      <c r="J12571" s="199"/>
    </row>
    <row r="12572" spans="9:10" x14ac:dyDescent="0.25">
      <c r="I12572" s="199"/>
      <c r="J12572" s="199"/>
    </row>
    <row r="12573" spans="9:10" x14ac:dyDescent="0.25">
      <c r="I12573" s="199"/>
      <c r="J12573" s="199"/>
    </row>
    <row r="12574" spans="9:10" x14ac:dyDescent="0.25">
      <c r="I12574" s="199"/>
      <c r="J12574" s="199"/>
    </row>
    <row r="12575" spans="9:10" x14ac:dyDescent="0.25">
      <c r="I12575" s="199"/>
      <c r="J12575" s="199"/>
    </row>
    <row r="12576" spans="9:10" x14ac:dyDescent="0.25">
      <c r="I12576" s="199"/>
      <c r="J12576" s="199"/>
    </row>
    <row r="12577" spans="9:10" x14ac:dyDescent="0.25">
      <c r="I12577" s="199"/>
      <c r="J12577" s="199"/>
    </row>
    <row r="12578" spans="9:10" x14ac:dyDescent="0.25">
      <c r="I12578" s="199"/>
      <c r="J12578" s="199"/>
    </row>
    <row r="12579" spans="9:10" x14ac:dyDescent="0.25">
      <c r="I12579" s="199"/>
      <c r="J12579" s="199"/>
    </row>
    <row r="12580" spans="9:10" x14ac:dyDescent="0.25">
      <c r="I12580" s="199"/>
      <c r="J12580" s="199"/>
    </row>
    <row r="12581" spans="9:10" x14ac:dyDescent="0.25">
      <c r="I12581" s="199"/>
      <c r="J12581" s="199"/>
    </row>
    <row r="12582" spans="9:10" x14ac:dyDescent="0.25">
      <c r="I12582" s="199"/>
      <c r="J12582" s="199"/>
    </row>
    <row r="12583" spans="9:10" x14ac:dyDescent="0.25">
      <c r="I12583" s="199"/>
      <c r="J12583" s="199"/>
    </row>
    <row r="12584" spans="9:10" x14ac:dyDescent="0.25">
      <c r="I12584" s="199"/>
      <c r="J12584" s="199"/>
    </row>
    <row r="12585" spans="9:10" x14ac:dyDescent="0.25">
      <c r="I12585" s="199"/>
      <c r="J12585" s="199"/>
    </row>
    <row r="12586" spans="9:10" x14ac:dyDescent="0.25">
      <c r="I12586" s="199"/>
      <c r="J12586" s="199"/>
    </row>
    <row r="12587" spans="9:10" x14ac:dyDescent="0.25">
      <c r="I12587" s="199"/>
      <c r="J12587" s="199"/>
    </row>
    <row r="12588" spans="9:10" x14ac:dyDescent="0.25">
      <c r="I12588" s="199"/>
      <c r="J12588" s="199"/>
    </row>
    <row r="12589" spans="9:10" x14ac:dyDescent="0.25">
      <c r="I12589" s="199"/>
      <c r="J12589" s="199"/>
    </row>
    <row r="12590" spans="9:10" x14ac:dyDescent="0.25">
      <c r="I12590" s="199"/>
      <c r="J12590" s="199"/>
    </row>
    <row r="12591" spans="9:10" x14ac:dyDescent="0.25">
      <c r="I12591" s="199"/>
      <c r="J12591" s="199"/>
    </row>
    <row r="12592" spans="9:10" x14ac:dyDescent="0.25">
      <c r="I12592" s="199"/>
      <c r="J12592" s="199"/>
    </row>
    <row r="12593" spans="9:10" x14ac:dyDescent="0.25">
      <c r="I12593" s="199"/>
      <c r="J12593" s="199"/>
    </row>
    <row r="12594" spans="9:10" x14ac:dyDescent="0.25">
      <c r="I12594" s="199"/>
      <c r="J12594" s="199"/>
    </row>
    <row r="12595" spans="9:10" x14ac:dyDescent="0.25">
      <c r="I12595" s="199"/>
      <c r="J12595" s="199"/>
    </row>
    <row r="12596" spans="9:10" x14ac:dyDescent="0.25">
      <c r="I12596" s="199"/>
      <c r="J12596" s="199"/>
    </row>
    <row r="12597" spans="9:10" x14ac:dyDescent="0.25">
      <c r="I12597" s="199"/>
      <c r="J12597" s="199"/>
    </row>
    <row r="12598" spans="9:10" x14ac:dyDescent="0.25">
      <c r="I12598" s="199"/>
      <c r="J12598" s="199"/>
    </row>
    <row r="12599" spans="9:10" x14ac:dyDescent="0.25">
      <c r="I12599" s="199"/>
      <c r="J12599" s="199"/>
    </row>
    <row r="12600" spans="9:10" x14ac:dyDescent="0.25">
      <c r="I12600" s="199"/>
      <c r="J12600" s="199"/>
    </row>
    <row r="12601" spans="9:10" x14ac:dyDescent="0.25">
      <c r="I12601" s="199"/>
      <c r="J12601" s="199"/>
    </row>
    <row r="12602" spans="9:10" x14ac:dyDescent="0.25">
      <c r="I12602" s="199"/>
      <c r="J12602" s="199"/>
    </row>
    <row r="12603" spans="9:10" x14ac:dyDescent="0.25">
      <c r="I12603" s="199"/>
      <c r="J12603" s="199"/>
    </row>
    <row r="12604" spans="9:10" x14ac:dyDescent="0.25">
      <c r="I12604" s="199"/>
      <c r="J12604" s="199"/>
    </row>
    <row r="12605" spans="9:10" x14ac:dyDescent="0.25">
      <c r="I12605" s="199"/>
      <c r="J12605" s="199"/>
    </row>
    <row r="12606" spans="9:10" x14ac:dyDescent="0.25">
      <c r="I12606" s="199"/>
      <c r="J12606" s="199"/>
    </row>
    <row r="12607" spans="9:10" x14ac:dyDescent="0.25">
      <c r="I12607" s="199"/>
      <c r="J12607" s="199"/>
    </row>
    <row r="12608" spans="9:10" x14ac:dyDescent="0.25">
      <c r="I12608" s="199"/>
      <c r="J12608" s="199"/>
    </row>
    <row r="12609" spans="9:10" x14ac:dyDescent="0.25">
      <c r="I12609" s="199"/>
      <c r="J12609" s="199"/>
    </row>
    <row r="12610" spans="9:10" x14ac:dyDescent="0.25">
      <c r="I12610" s="199"/>
      <c r="J12610" s="199"/>
    </row>
    <row r="12611" spans="9:10" x14ac:dyDescent="0.25">
      <c r="I12611" s="199"/>
      <c r="J12611" s="199"/>
    </row>
    <row r="12612" spans="9:10" x14ac:dyDescent="0.25">
      <c r="I12612" s="199"/>
      <c r="J12612" s="199"/>
    </row>
    <row r="12613" spans="9:10" x14ac:dyDescent="0.25">
      <c r="I12613" s="199"/>
      <c r="J12613" s="199"/>
    </row>
    <row r="12614" spans="9:10" x14ac:dyDescent="0.25">
      <c r="I12614" s="199"/>
      <c r="J12614" s="199"/>
    </row>
    <row r="12615" spans="9:10" x14ac:dyDescent="0.25">
      <c r="I12615" s="199"/>
      <c r="J12615" s="199"/>
    </row>
    <row r="12616" spans="9:10" x14ac:dyDescent="0.25">
      <c r="I12616" s="199"/>
      <c r="J12616" s="199"/>
    </row>
    <row r="12617" spans="9:10" x14ac:dyDescent="0.25">
      <c r="I12617" s="199"/>
      <c r="J12617" s="199"/>
    </row>
    <row r="12618" spans="9:10" x14ac:dyDescent="0.25">
      <c r="I12618" s="199"/>
      <c r="J12618" s="199"/>
    </row>
    <row r="12619" spans="9:10" x14ac:dyDescent="0.25">
      <c r="I12619" s="199"/>
      <c r="J12619" s="199"/>
    </row>
    <row r="12620" spans="9:10" x14ac:dyDescent="0.25">
      <c r="I12620" s="199"/>
      <c r="J12620" s="199"/>
    </row>
    <row r="12621" spans="9:10" x14ac:dyDescent="0.25">
      <c r="I12621" s="199"/>
      <c r="J12621" s="199"/>
    </row>
    <row r="12622" spans="9:10" x14ac:dyDescent="0.25">
      <c r="I12622" s="199"/>
      <c r="J12622" s="199"/>
    </row>
    <row r="12623" spans="9:10" x14ac:dyDescent="0.25">
      <c r="I12623" s="199"/>
      <c r="J12623" s="199"/>
    </row>
    <row r="12624" spans="9:10" x14ac:dyDescent="0.25">
      <c r="I12624" s="199"/>
      <c r="J12624" s="199"/>
    </row>
    <row r="12625" spans="9:10" x14ac:dyDescent="0.25">
      <c r="I12625" s="199"/>
      <c r="J12625" s="199"/>
    </row>
    <row r="12626" spans="9:10" x14ac:dyDescent="0.25">
      <c r="I12626" s="199"/>
      <c r="J12626" s="199"/>
    </row>
    <row r="12627" spans="9:10" x14ac:dyDescent="0.25">
      <c r="I12627" s="199"/>
      <c r="J12627" s="199"/>
    </row>
    <row r="12628" spans="9:10" x14ac:dyDescent="0.25">
      <c r="I12628" s="199"/>
      <c r="J12628" s="199"/>
    </row>
    <row r="12629" spans="9:10" x14ac:dyDescent="0.25">
      <c r="I12629" s="199"/>
      <c r="J12629" s="199"/>
    </row>
    <row r="12630" spans="9:10" x14ac:dyDescent="0.25">
      <c r="I12630" s="199"/>
      <c r="J12630" s="199"/>
    </row>
    <row r="12631" spans="9:10" x14ac:dyDescent="0.25">
      <c r="I12631" s="199"/>
      <c r="J12631" s="199"/>
    </row>
    <row r="12632" spans="9:10" x14ac:dyDescent="0.25">
      <c r="I12632" s="199"/>
      <c r="J12632" s="199"/>
    </row>
    <row r="12633" spans="9:10" x14ac:dyDescent="0.25">
      <c r="I12633" s="199"/>
      <c r="J12633" s="199"/>
    </row>
    <row r="12634" spans="9:10" x14ac:dyDescent="0.25">
      <c r="I12634" s="199"/>
      <c r="J12634" s="199"/>
    </row>
    <row r="12635" spans="9:10" x14ac:dyDescent="0.25">
      <c r="I12635" s="199"/>
      <c r="J12635" s="199"/>
    </row>
    <row r="12636" spans="9:10" x14ac:dyDescent="0.25">
      <c r="I12636" s="199"/>
      <c r="J12636" s="199"/>
    </row>
    <row r="12637" spans="9:10" x14ac:dyDescent="0.25">
      <c r="I12637" s="199"/>
      <c r="J12637" s="199"/>
    </row>
    <row r="12638" spans="9:10" x14ac:dyDescent="0.25">
      <c r="I12638" s="199"/>
      <c r="J12638" s="199"/>
    </row>
    <row r="12639" spans="9:10" x14ac:dyDescent="0.25">
      <c r="I12639" s="199"/>
      <c r="J12639" s="199"/>
    </row>
    <row r="12640" spans="9:10" x14ac:dyDescent="0.25">
      <c r="I12640" s="199"/>
      <c r="J12640" s="199"/>
    </row>
    <row r="12641" spans="9:10" x14ac:dyDescent="0.25">
      <c r="I12641" s="199"/>
      <c r="J12641" s="199"/>
    </row>
    <row r="12642" spans="9:10" x14ac:dyDescent="0.25">
      <c r="I12642" s="199"/>
      <c r="J12642" s="199"/>
    </row>
    <row r="12643" spans="9:10" x14ac:dyDescent="0.25">
      <c r="I12643" s="199"/>
      <c r="J12643" s="199"/>
    </row>
    <row r="12644" spans="9:10" x14ac:dyDescent="0.25">
      <c r="I12644" s="199"/>
      <c r="J12644" s="199"/>
    </row>
    <row r="12645" spans="9:10" x14ac:dyDescent="0.25">
      <c r="I12645" s="199"/>
      <c r="J12645" s="199"/>
    </row>
    <row r="12646" spans="9:10" x14ac:dyDescent="0.25">
      <c r="I12646" s="199"/>
      <c r="J12646" s="199"/>
    </row>
    <row r="12647" spans="9:10" x14ac:dyDescent="0.25">
      <c r="I12647" s="199"/>
      <c r="J12647" s="199"/>
    </row>
    <row r="12648" spans="9:10" x14ac:dyDescent="0.25">
      <c r="I12648" s="199"/>
      <c r="J12648" s="199"/>
    </row>
    <row r="12649" spans="9:10" x14ac:dyDescent="0.25">
      <c r="I12649" s="199"/>
      <c r="J12649" s="199"/>
    </row>
    <row r="12650" spans="9:10" x14ac:dyDescent="0.25">
      <c r="I12650" s="199"/>
      <c r="J12650" s="199"/>
    </row>
    <row r="12651" spans="9:10" x14ac:dyDescent="0.25">
      <c r="I12651" s="199"/>
      <c r="J12651" s="199"/>
    </row>
    <row r="12652" spans="9:10" x14ac:dyDescent="0.25">
      <c r="I12652" s="199"/>
      <c r="J12652" s="199"/>
    </row>
    <row r="12653" spans="9:10" x14ac:dyDescent="0.25">
      <c r="I12653" s="199"/>
      <c r="J12653" s="199"/>
    </row>
    <row r="12654" spans="9:10" x14ac:dyDescent="0.25">
      <c r="I12654" s="199"/>
      <c r="J12654" s="199"/>
    </row>
    <row r="12655" spans="9:10" x14ac:dyDescent="0.25">
      <c r="I12655" s="199"/>
      <c r="J12655" s="199"/>
    </row>
    <row r="12656" spans="9:10" x14ac:dyDescent="0.25">
      <c r="I12656" s="199"/>
      <c r="J12656" s="199"/>
    </row>
    <row r="12657" spans="9:10" x14ac:dyDescent="0.25">
      <c r="I12657" s="199"/>
      <c r="J12657" s="199"/>
    </row>
    <row r="12658" spans="9:10" x14ac:dyDescent="0.25">
      <c r="I12658" s="199"/>
      <c r="J12658" s="199"/>
    </row>
    <row r="12659" spans="9:10" x14ac:dyDescent="0.25">
      <c r="I12659" s="199"/>
      <c r="J12659" s="199"/>
    </row>
    <row r="12660" spans="9:10" x14ac:dyDescent="0.25">
      <c r="I12660" s="199"/>
      <c r="J12660" s="199"/>
    </row>
    <row r="12661" spans="9:10" x14ac:dyDescent="0.25">
      <c r="I12661" s="199"/>
      <c r="J12661" s="199"/>
    </row>
    <row r="12662" spans="9:10" x14ac:dyDescent="0.25">
      <c r="I12662" s="199"/>
      <c r="J12662" s="199"/>
    </row>
    <row r="12663" spans="9:10" x14ac:dyDescent="0.25">
      <c r="I12663" s="199"/>
      <c r="J12663" s="199"/>
    </row>
    <row r="12664" spans="9:10" x14ac:dyDescent="0.25">
      <c r="I12664" s="199"/>
      <c r="J12664" s="199"/>
    </row>
    <row r="12665" spans="9:10" x14ac:dyDescent="0.25">
      <c r="I12665" s="199"/>
      <c r="J12665" s="199"/>
    </row>
    <row r="12666" spans="9:10" x14ac:dyDescent="0.25">
      <c r="I12666" s="199"/>
      <c r="J12666" s="199"/>
    </row>
    <row r="12667" spans="9:10" x14ac:dyDescent="0.25">
      <c r="I12667" s="199"/>
      <c r="J12667" s="199"/>
    </row>
    <row r="12668" spans="9:10" x14ac:dyDescent="0.25">
      <c r="I12668" s="199"/>
      <c r="J12668" s="199"/>
    </row>
    <row r="12669" spans="9:10" x14ac:dyDescent="0.25">
      <c r="I12669" s="199"/>
      <c r="J12669" s="199"/>
    </row>
    <row r="12670" spans="9:10" x14ac:dyDescent="0.25">
      <c r="I12670" s="199"/>
      <c r="J12670" s="199"/>
    </row>
    <row r="12671" spans="9:10" x14ac:dyDescent="0.25">
      <c r="I12671" s="199"/>
      <c r="J12671" s="199"/>
    </row>
    <row r="12672" spans="9:10" x14ac:dyDescent="0.25">
      <c r="I12672" s="199"/>
      <c r="J12672" s="199"/>
    </row>
    <row r="12673" spans="9:10" x14ac:dyDescent="0.25">
      <c r="I12673" s="199"/>
      <c r="J12673" s="199"/>
    </row>
    <row r="12674" spans="9:10" x14ac:dyDescent="0.25">
      <c r="I12674" s="199"/>
      <c r="J12674" s="199"/>
    </row>
    <row r="12675" spans="9:10" x14ac:dyDescent="0.25">
      <c r="I12675" s="199"/>
      <c r="J12675" s="199"/>
    </row>
    <row r="12676" spans="9:10" x14ac:dyDescent="0.25">
      <c r="I12676" s="199"/>
      <c r="J12676" s="199"/>
    </row>
    <row r="12677" spans="9:10" x14ac:dyDescent="0.25">
      <c r="I12677" s="199"/>
      <c r="J12677" s="199"/>
    </row>
    <row r="12678" spans="9:10" x14ac:dyDescent="0.25">
      <c r="I12678" s="199"/>
      <c r="J12678" s="199"/>
    </row>
    <row r="12679" spans="9:10" x14ac:dyDescent="0.25">
      <c r="I12679" s="199"/>
      <c r="J12679" s="199"/>
    </row>
    <row r="12680" spans="9:10" x14ac:dyDescent="0.25">
      <c r="I12680" s="199"/>
      <c r="J12680" s="199"/>
    </row>
    <row r="12681" spans="9:10" x14ac:dyDescent="0.25">
      <c r="I12681" s="199"/>
      <c r="J12681" s="199"/>
    </row>
    <row r="12682" spans="9:10" x14ac:dyDescent="0.25">
      <c r="I12682" s="199"/>
      <c r="J12682" s="199"/>
    </row>
    <row r="12683" spans="9:10" x14ac:dyDescent="0.25">
      <c r="I12683" s="199"/>
      <c r="J12683" s="199"/>
    </row>
    <row r="12684" spans="9:10" x14ac:dyDescent="0.25">
      <c r="I12684" s="199"/>
      <c r="J12684" s="199"/>
    </row>
    <row r="12685" spans="9:10" x14ac:dyDescent="0.25">
      <c r="I12685" s="199"/>
      <c r="J12685" s="199"/>
    </row>
    <row r="12686" spans="9:10" x14ac:dyDescent="0.25">
      <c r="I12686" s="199"/>
      <c r="J12686" s="199"/>
    </row>
    <row r="12687" spans="9:10" x14ac:dyDescent="0.25">
      <c r="I12687" s="199"/>
      <c r="J12687" s="199"/>
    </row>
    <row r="12688" spans="9:10" x14ac:dyDescent="0.25">
      <c r="I12688" s="199"/>
      <c r="J12688" s="199"/>
    </row>
    <row r="12689" spans="9:10" x14ac:dyDescent="0.25">
      <c r="I12689" s="199"/>
      <c r="J12689" s="199"/>
    </row>
    <row r="12690" spans="9:10" x14ac:dyDescent="0.25">
      <c r="I12690" s="199"/>
      <c r="J12690" s="199"/>
    </row>
    <row r="12691" spans="9:10" x14ac:dyDescent="0.25">
      <c r="I12691" s="199"/>
      <c r="J12691" s="199"/>
    </row>
    <row r="12692" spans="9:10" x14ac:dyDescent="0.25">
      <c r="I12692" s="199"/>
      <c r="J12692" s="199"/>
    </row>
    <row r="12693" spans="9:10" x14ac:dyDescent="0.25">
      <c r="I12693" s="199"/>
      <c r="J12693" s="199"/>
    </row>
    <row r="12694" spans="9:10" x14ac:dyDescent="0.25">
      <c r="I12694" s="199"/>
      <c r="J12694" s="199"/>
    </row>
    <row r="12695" spans="9:10" x14ac:dyDescent="0.25">
      <c r="I12695" s="199"/>
      <c r="J12695" s="199"/>
    </row>
    <row r="12696" spans="9:10" x14ac:dyDescent="0.25">
      <c r="I12696" s="199"/>
      <c r="J12696" s="199"/>
    </row>
    <row r="12697" spans="9:10" x14ac:dyDescent="0.25">
      <c r="I12697" s="199"/>
      <c r="J12697" s="199"/>
    </row>
    <row r="12698" spans="9:10" x14ac:dyDescent="0.25">
      <c r="I12698" s="199"/>
      <c r="J12698" s="199"/>
    </row>
    <row r="12699" spans="9:10" x14ac:dyDescent="0.25">
      <c r="I12699" s="199"/>
      <c r="J12699" s="199"/>
    </row>
    <row r="12700" spans="9:10" x14ac:dyDescent="0.25">
      <c r="I12700" s="199"/>
      <c r="J12700" s="199"/>
    </row>
    <row r="12701" spans="9:10" x14ac:dyDescent="0.25">
      <c r="I12701" s="199"/>
      <c r="J12701" s="199"/>
    </row>
    <row r="12702" spans="9:10" x14ac:dyDescent="0.25">
      <c r="I12702" s="199"/>
      <c r="J12702" s="199"/>
    </row>
    <row r="12703" spans="9:10" x14ac:dyDescent="0.25">
      <c r="I12703" s="199"/>
      <c r="J12703" s="199"/>
    </row>
    <row r="12704" spans="9:10" x14ac:dyDescent="0.25">
      <c r="I12704" s="199"/>
      <c r="J12704" s="199"/>
    </row>
    <row r="12705" spans="9:10" x14ac:dyDescent="0.25">
      <c r="I12705" s="199"/>
      <c r="J12705" s="199"/>
    </row>
    <row r="12706" spans="9:10" x14ac:dyDescent="0.25">
      <c r="I12706" s="199"/>
      <c r="J12706" s="199"/>
    </row>
    <row r="12707" spans="9:10" x14ac:dyDescent="0.25">
      <c r="I12707" s="199"/>
      <c r="J12707" s="199"/>
    </row>
    <row r="12708" spans="9:10" x14ac:dyDescent="0.25">
      <c r="I12708" s="199"/>
      <c r="J12708" s="199"/>
    </row>
    <row r="12709" spans="9:10" x14ac:dyDescent="0.25">
      <c r="I12709" s="199"/>
      <c r="J12709" s="199"/>
    </row>
    <row r="12710" spans="9:10" x14ac:dyDescent="0.25">
      <c r="I12710" s="199"/>
      <c r="J12710" s="199"/>
    </row>
    <row r="12711" spans="9:10" x14ac:dyDescent="0.25">
      <c r="I12711" s="199"/>
      <c r="J12711" s="199"/>
    </row>
    <row r="12712" spans="9:10" x14ac:dyDescent="0.25">
      <c r="I12712" s="199"/>
      <c r="J12712" s="199"/>
    </row>
    <row r="12713" spans="9:10" x14ac:dyDescent="0.25">
      <c r="I12713" s="199"/>
      <c r="J12713" s="199"/>
    </row>
    <row r="12714" spans="9:10" x14ac:dyDescent="0.25">
      <c r="I12714" s="199"/>
      <c r="J12714" s="199"/>
    </row>
    <row r="12715" spans="9:10" x14ac:dyDescent="0.25">
      <c r="I12715" s="199"/>
      <c r="J12715" s="199"/>
    </row>
    <row r="12716" spans="9:10" x14ac:dyDescent="0.25">
      <c r="I12716" s="199"/>
      <c r="J12716" s="199"/>
    </row>
    <row r="12717" spans="9:10" x14ac:dyDescent="0.25">
      <c r="I12717" s="199"/>
      <c r="J12717" s="199"/>
    </row>
    <row r="12718" spans="9:10" x14ac:dyDescent="0.25">
      <c r="I12718" s="199"/>
      <c r="J12718" s="199"/>
    </row>
    <row r="12719" spans="9:10" x14ac:dyDescent="0.25">
      <c r="I12719" s="199"/>
      <c r="J12719" s="199"/>
    </row>
    <row r="12720" spans="9:10" x14ac:dyDescent="0.25">
      <c r="I12720" s="199"/>
      <c r="J12720" s="199"/>
    </row>
    <row r="12721" spans="9:10" x14ac:dyDescent="0.25">
      <c r="I12721" s="199"/>
      <c r="J12721" s="199"/>
    </row>
    <row r="12722" spans="9:10" x14ac:dyDescent="0.25">
      <c r="I12722" s="199"/>
      <c r="J12722" s="199"/>
    </row>
    <row r="12723" spans="9:10" x14ac:dyDescent="0.25">
      <c r="I12723" s="199"/>
      <c r="J12723" s="199"/>
    </row>
    <row r="12724" spans="9:10" x14ac:dyDescent="0.25">
      <c r="I12724" s="199"/>
      <c r="J12724" s="199"/>
    </row>
    <row r="12725" spans="9:10" x14ac:dyDescent="0.25">
      <c r="I12725" s="199"/>
      <c r="J12725" s="199"/>
    </row>
    <row r="12726" spans="9:10" x14ac:dyDescent="0.25">
      <c r="I12726" s="199"/>
      <c r="J12726" s="199"/>
    </row>
    <row r="12727" spans="9:10" x14ac:dyDescent="0.25">
      <c r="I12727" s="199"/>
      <c r="J12727" s="199"/>
    </row>
    <row r="12728" spans="9:10" x14ac:dyDescent="0.25">
      <c r="I12728" s="199"/>
      <c r="J12728" s="199"/>
    </row>
    <row r="12729" spans="9:10" x14ac:dyDescent="0.25">
      <c r="I12729" s="199"/>
      <c r="J12729" s="199"/>
    </row>
    <row r="12730" spans="9:10" x14ac:dyDescent="0.25">
      <c r="I12730" s="199"/>
      <c r="J12730" s="199"/>
    </row>
    <row r="12731" spans="9:10" x14ac:dyDescent="0.25">
      <c r="I12731" s="199"/>
      <c r="J12731" s="199"/>
    </row>
    <row r="12732" spans="9:10" x14ac:dyDescent="0.25">
      <c r="I12732" s="199"/>
      <c r="J12732" s="199"/>
    </row>
    <row r="12733" spans="9:10" x14ac:dyDescent="0.25">
      <c r="I12733" s="199"/>
      <c r="J12733" s="199"/>
    </row>
    <row r="12734" spans="9:10" x14ac:dyDescent="0.25">
      <c r="I12734" s="199"/>
      <c r="J12734" s="199"/>
    </row>
    <row r="12735" spans="9:10" x14ac:dyDescent="0.25">
      <c r="I12735" s="199"/>
      <c r="J12735" s="199"/>
    </row>
    <row r="12736" spans="9:10" x14ac:dyDescent="0.25">
      <c r="I12736" s="199"/>
      <c r="J12736" s="199"/>
    </row>
    <row r="12737" spans="9:10" x14ac:dyDescent="0.25">
      <c r="I12737" s="199"/>
      <c r="J12737" s="199"/>
    </row>
    <row r="12738" spans="9:10" x14ac:dyDescent="0.25">
      <c r="I12738" s="199"/>
      <c r="J12738" s="199"/>
    </row>
    <row r="12739" spans="9:10" x14ac:dyDescent="0.25">
      <c r="I12739" s="199"/>
      <c r="J12739" s="199"/>
    </row>
    <row r="12740" spans="9:10" x14ac:dyDescent="0.25">
      <c r="I12740" s="199"/>
      <c r="J12740" s="199"/>
    </row>
    <row r="12741" spans="9:10" x14ac:dyDescent="0.25">
      <c r="I12741" s="199"/>
      <c r="J12741" s="199"/>
    </row>
    <row r="12742" spans="9:10" x14ac:dyDescent="0.25">
      <c r="I12742" s="199"/>
      <c r="J12742" s="199"/>
    </row>
    <row r="12743" spans="9:10" x14ac:dyDescent="0.25">
      <c r="I12743" s="199"/>
      <c r="J12743" s="199"/>
    </row>
    <row r="12744" spans="9:10" x14ac:dyDescent="0.25">
      <c r="I12744" s="199"/>
      <c r="J12744" s="199"/>
    </row>
    <row r="12745" spans="9:10" x14ac:dyDescent="0.25">
      <c r="I12745" s="199"/>
      <c r="J12745" s="199"/>
    </row>
    <row r="12746" spans="9:10" x14ac:dyDescent="0.25">
      <c r="I12746" s="199"/>
      <c r="J12746" s="199"/>
    </row>
    <row r="12747" spans="9:10" x14ac:dyDescent="0.25">
      <c r="I12747" s="199"/>
      <c r="J12747" s="199"/>
    </row>
    <row r="12748" spans="9:10" x14ac:dyDescent="0.25">
      <c r="I12748" s="199"/>
      <c r="J12748" s="199"/>
    </row>
    <row r="12749" spans="9:10" x14ac:dyDescent="0.25">
      <c r="I12749" s="199"/>
      <c r="J12749" s="199"/>
    </row>
    <row r="12750" spans="9:10" x14ac:dyDescent="0.25">
      <c r="I12750" s="199"/>
      <c r="J12750" s="199"/>
    </row>
    <row r="12751" spans="9:10" x14ac:dyDescent="0.25">
      <c r="I12751" s="199"/>
      <c r="J12751" s="199"/>
    </row>
    <row r="12752" spans="9:10" x14ac:dyDescent="0.25">
      <c r="I12752" s="199"/>
      <c r="J12752" s="199"/>
    </row>
    <row r="12753" spans="9:10" x14ac:dyDescent="0.25">
      <c r="I12753" s="199"/>
      <c r="J12753" s="199"/>
    </row>
    <row r="12754" spans="9:10" x14ac:dyDescent="0.25">
      <c r="I12754" s="199"/>
      <c r="J12754" s="199"/>
    </row>
    <row r="12755" spans="9:10" x14ac:dyDescent="0.25">
      <c r="I12755" s="199"/>
      <c r="J12755" s="199"/>
    </row>
    <row r="12756" spans="9:10" x14ac:dyDescent="0.25">
      <c r="I12756" s="199"/>
      <c r="J12756" s="199"/>
    </row>
    <row r="12757" spans="9:10" x14ac:dyDescent="0.25">
      <c r="I12757" s="199"/>
      <c r="J12757" s="199"/>
    </row>
    <row r="12758" spans="9:10" x14ac:dyDescent="0.25">
      <c r="I12758" s="199"/>
      <c r="J12758" s="199"/>
    </row>
    <row r="12759" spans="9:10" x14ac:dyDescent="0.25">
      <c r="I12759" s="199"/>
      <c r="J12759" s="199"/>
    </row>
    <row r="12760" spans="9:10" x14ac:dyDescent="0.25">
      <c r="I12760" s="199"/>
      <c r="J12760" s="199"/>
    </row>
    <row r="12761" spans="9:10" x14ac:dyDescent="0.25">
      <c r="I12761" s="199"/>
      <c r="J12761" s="199"/>
    </row>
    <row r="12762" spans="9:10" x14ac:dyDescent="0.25">
      <c r="I12762" s="199"/>
      <c r="J12762" s="199"/>
    </row>
    <row r="12763" spans="9:10" x14ac:dyDescent="0.25">
      <c r="I12763" s="199"/>
      <c r="J12763" s="199"/>
    </row>
    <row r="12764" spans="9:10" x14ac:dyDescent="0.25">
      <c r="I12764" s="199"/>
      <c r="J12764" s="199"/>
    </row>
    <row r="12765" spans="9:10" x14ac:dyDescent="0.25">
      <c r="I12765" s="199"/>
      <c r="J12765" s="199"/>
    </row>
    <row r="12766" spans="9:10" x14ac:dyDescent="0.25">
      <c r="I12766" s="199"/>
      <c r="J12766" s="199"/>
    </row>
    <row r="12767" spans="9:10" x14ac:dyDescent="0.25">
      <c r="I12767" s="199"/>
      <c r="J12767" s="199"/>
    </row>
    <row r="12768" spans="9:10" x14ac:dyDescent="0.25">
      <c r="I12768" s="199"/>
      <c r="J12768" s="199"/>
    </row>
    <row r="12769" spans="9:10" x14ac:dyDescent="0.25">
      <c r="I12769" s="199"/>
      <c r="J12769" s="199"/>
    </row>
    <row r="12770" spans="9:10" x14ac:dyDescent="0.25">
      <c r="I12770" s="199"/>
      <c r="J12770" s="199"/>
    </row>
    <row r="12771" spans="9:10" x14ac:dyDescent="0.25">
      <c r="I12771" s="199"/>
      <c r="J12771" s="199"/>
    </row>
    <row r="12772" spans="9:10" x14ac:dyDescent="0.25">
      <c r="I12772" s="199"/>
      <c r="J12772" s="199"/>
    </row>
    <row r="12773" spans="9:10" x14ac:dyDescent="0.25">
      <c r="I12773" s="199"/>
      <c r="J12773" s="199"/>
    </row>
    <row r="12774" spans="9:10" x14ac:dyDescent="0.25">
      <c r="I12774" s="199"/>
      <c r="J12774" s="199"/>
    </row>
    <row r="12775" spans="9:10" x14ac:dyDescent="0.25">
      <c r="I12775" s="199"/>
      <c r="J12775" s="199"/>
    </row>
    <row r="12776" spans="9:10" x14ac:dyDescent="0.25">
      <c r="I12776" s="199"/>
      <c r="J12776" s="199"/>
    </row>
    <row r="12777" spans="9:10" x14ac:dyDescent="0.25">
      <c r="I12777" s="199"/>
      <c r="J12777" s="199"/>
    </row>
    <row r="12778" spans="9:10" x14ac:dyDescent="0.25">
      <c r="I12778" s="199"/>
      <c r="J12778" s="199"/>
    </row>
    <row r="12779" spans="9:10" x14ac:dyDescent="0.25">
      <c r="I12779" s="199"/>
      <c r="J12779" s="199"/>
    </row>
    <row r="12780" spans="9:10" x14ac:dyDescent="0.25">
      <c r="I12780" s="199"/>
      <c r="J12780" s="199"/>
    </row>
    <row r="12781" spans="9:10" x14ac:dyDescent="0.25">
      <c r="I12781" s="199"/>
      <c r="J12781" s="199"/>
    </row>
    <row r="12782" spans="9:10" x14ac:dyDescent="0.25">
      <c r="I12782" s="199"/>
      <c r="J12782" s="199"/>
    </row>
    <row r="12783" spans="9:10" x14ac:dyDescent="0.25">
      <c r="I12783" s="199"/>
      <c r="J12783" s="199"/>
    </row>
    <row r="12784" spans="9:10" x14ac:dyDescent="0.25">
      <c r="I12784" s="199"/>
      <c r="J12784" s="199"/>
    </row>
    <row r="12785" spans="9:10" x14ac:dyDescent="0.25">
      <c r="I12785" s="199"/>
      <c r="J12785" s="199"/>
    </row>
    <row r="12786" spans="9:10" x14ac:dyDescent="0.25">
      <c r="I12786" s="199"/>
      <c r="J12786" s="199"/>
    </row>
    <row r="12787" spans="9:10" x14ac:dyDescent="0.25">
      <c r="I12787" s="199"/>
      <c r="J12787" s="199"/>
    </row>
    <row r="12788" spans="9:10" x14ac:dyDescent="0.25">
      <c r="I12788" s="199"/>
      <c r="J12788" s="199"/>
    </row>
    <row r="12789" spans="9:10" x14ac:dyDescent="0.25">
      <c r="I12789" s="199"/>
      <c r="J12789" s="199"/>
    </row>
    <row r="12790" spans="9:10" x14ac:dyDescent="0.25">
      <c r="I12790" s="199"/>
      <c r="J12790" s="199"/>
    </row>
    <row r="12791" spans="9:10" x14ac:dyDescent="0.25">
      <c r="I12791" s="199"/>
      <c r="J12791" s="199"/>
    </row>
    <row r="12792" spans="9:10" x14ac:dyDescent="0.25">
      <c r="I12792" s="199"/>
      <c r="J12792" s="199"/>
    </row>
    <row r="12793" spans="9:10" x14ac:dyDescent="0.25">
      <c r="I12793" s="199"/>
      <c r="J12793" s="199"/>
    </row>
    <row r="12794" spans="9:10" x14ac:dyDescent="0.25">
      <c r="I12794" s="199"/>
      <c r="J12794" s="199"/>
    </row>
    <row r="12795" spans="9:10" x14ac:dyDescent="0.25">
      <c r="I12795" s="199"/>
      <c r="J12795" s="199"/>
    </row>
    <row r="12796" spans="9:10" x14ac:dyDescent="0.25">
      <c r="I12796" s="199"/>
      <c r="J12796" s="199"/>
    </row>
    <row r="12797" spans="9:10" x14ac:dyDescent="0.25">
      <c r="I12797" s="199"/>
      <c r="J12797" s="199"/>
    </row>
    <row r="12798" spans="9:10" x14ac:dyDescent="0.25">
      <c r="I12798" s="199"/>
      <c r="J12798" s="199"/>
    </row>
    <row r="12799" spans="9:10" x14ac:dyDescent="0.25">
      <c r="I12799" s="199"/>
      <c r="J12799" s="199"/>
    </row>
    <row r="12800" spans="9:10" x14ac:dyDescent="0.25">
      <c r="I12800" s="199"/>
      <c r="J12800" s="199"/>
    </row>
    <row r="12801" spans="9:10" x14ac:dyDescent="0.25">
      <c r="I12801" s="199"/>
      <c r="J12801" s="199"/>
    </row>
    <row r="12802" spans="9:10" x14ac:dyDescent="0.25">
      <c r="I12802" s="199"/>
      <c r="J12802" s="199"/>
    </row>
    <row r="12803" spans="9:10" x14ac:dyDescent="0.25">
      <c r="I12803" s="199"/>
      <c r="J12803" s="199"/>
    </row>
    <row r="12804" spans="9:10" x14ac:dyDescent="0.25">
      <c r="I12804" s="199"/>
      <c r="J12804" s="199"/>
    </row>
    <row r="12805" spans="9:10" x14ac:dyDescent="0.25">
      <c r="I12805" s="199"/>
      <c r="J12805" s="199"/>
    </row>
    <row r="12806" spans="9:10" x14ac:dyDescent="0.25">
      <c r="I12806" s="199"/>
      <c r="J12806" s="199"/>
    </row>
    <row r="12807" spans="9:10" x14ac:dyDescent="0.25">
      <c r="I12807" s="199"/>
      <c r="J12807" s="199"/>
    </row>
    <row r="12808" spans="9:10" x14ac:dyDescent="0.25">
      <c r="I12808" s="199"/>
      <c r="J12808" s="199"/>
    </row>
    <row r="12809" spans="9:10" x14ac:dyDescent="0.25">
      <c r="I12809" s="199"/>
      <c r="J12809" s="199"/>
    </row>
    <row r="12810" spans="9:10" x14ac:dyDescent="0.25">
      <c r="I12810" s="199"/>
      <c r="J12810" s="199"/>
    </row>
    <row r="12811" spans="9:10" x14ac:dyDescent="0.25">
      <c r="I12811" s="199"/>
      <c r="J12811" s="199"/>
    </row>
    <row r="12812" spans="9:10" x14ac:dyDescent="0.25">
      <c r="I12812" s="199"/>
      <c r="J12812" s="199"/>
    </row>
    <row r="12813" spans="9:10" x14ac:dyDescent="0.25">
      <c r="I12813" s="199"/>
      <c r="J12813" s="199"/>
    </row>
    <row r="12814" spans="9:10" x14ac:dyDescent="0.25">
      <c r="I12814" s="199"/>
      <c r="J12814" s="199"/>
    </row>
    <row r="12815" spans="9:10" x14ac:dyDescent="0.25">
      <c r="I12815" s="199"/>
      <c r="J12815" s="199"/>
    </row>
    <row r="12816" spans="9:10" x14ac:dyDescent="0.25">
      <c r="I12816" s="199"/>
      <c r="J12816" s="199"/>
    </row>
    <row r="12817" spans="9:10" x14ac:dyDescent="0.25">
      <c r="I12817" s="199"/>
      <c r="J12817" s="199"/>
    </row>
    <row r="12818" spans="9:10" x14ac:dyDescent="0.25">
      <c r="I12818" s="199"/>
      <c r="J12818" s="199"/>
    </row>
    <row r="12819" spans="9:10" x14ac:dyDescent="0.25">
      <c r="I12819" s="199"/>
      <c r="J12819" s="199"/>
    </row>
    <row r="12820" spans="9:10" x14ac:dyDescent="0.25">
      <c r="I12820" s="199"/>
      <c r="J12820" s="199"/>
    </row>
    <row r="12821" spans="9:10" x14ac:dyDescent="0.25">
      <c r="I12821" s="199"/>
      <c r="J12821" s="199"/>
    </row>
    <row r="12822" spans="9:10" x14ac:dyDescent="0.25">
      <c r="I12822" s="199"/>
      <c r="J12822" s="199"/>
    </row>
    <row r="12823" spans="9:10" x14ac:dyDescent="0.25">
      <c r="I12823" s="199"/>
      <c r="J12823" s="199"/>
    </row>
    <row r="12824" spans="9:10" x14ac:dyDescent="0.25">
      <c r="I12824" s="199"/>
      <c r="J12824" s="199"/>
    </row>
    <row r="12825" spans="9:10" x14ac:dyDescent="0.25">
      <c r="I12825" s="199"/>
      <c r="J12825" s="199"/>
    </row>
    <row r="12826" spans="9:10" x14ac:dyDescent="0.25">
      <c r="I12826" s="199"/>
      <c r="J12826" s="199"/>
    </row>
    <row r="12827" spans="9:10" x14ac:dyDescent="0.25">
      <c r="I12827" s="199"/>
      <c r="J12827" s="199"/>
    </row>
    <row r="12828" spans="9:10" x14ac:dyDescent="0.25">
      <c r="I12828" s="199"/>
      <c r="J12828" s="199"/>
    </row>
    <row r="12829" spans="9:10" x14ac:dyDescent="0.25">
      <c r="I12829" s="199"/>
      <c r="J12829" s="199"/>
    </row>
    <row r="12830" spans="9:10" x14ac:dyDescent="0.25">
      <c r="I12830" s="199"/>
      <c r="J12830" s="199"/>
    </row>
    <row r="12831" spans="9:10" x14ac:dyDescent="0.25">
      <c r="I12831" s="199"/>
      <c r="J12831" s="199"/>
    </row>
    <row r="12832" spans="9:10" x14ac:dyDescent="0.25">
      <c r="I12832" s="199"/>
      <c r="J12832" s="199"/>
    </row>
    <row r="12833" spans="9:10" x14ac:dyDescent="0.25">
      <c r="I12833" s="199"/>
      <c r="J12833" s="199"/>
    </row>
    <row r="12834" spans="9:10" x14ac:dyDescent="0.25">
      <c r="I12834" s="199"/>
      <c r="J12834" s="199"/>
    </row>
    <row r="12835" spans="9:10" x14ac:dyDescent="0.25">
      <c r="I12835" s="199"/>
      <c r="J12835" s="199"/>
    </row>
    <row r="12836" spans="9:10" x14ac:dyDescent="0.25">
      <c r="I12836" s="199"/>
      <c r="J12836" s="199"/>
    </row>
    <row r="12837" spans="9:10" x14ac:dyDescent="0.25">
      <c r="I12837" s="199"/>
      <c r="J12837" s="199"/>
    </row>
    <row r="12838" spans="9:10" x14ac:dyDescent="0.25">
      <c r="I12838" s="199"/>
      <c r="J12838" s="199"/>
    </row>
    <row r="12839" spans="9:10" x14ac:dyDescent="0.25">
      <c r="I12839" s="199"/>
      <c r="J12839" s="199"/>
    </row>
    <row r="12840" spans="9:10" x14ac:dyDescent="0.25">
      <c r="I12840" s="199"/>
      <c r="J12840" s="199"/>
    </row>
    <row r="12841" spans="9:10" x14ac:dyDescent="0.25">
      <c r="I12841" s="199"/>
      <c r="J12841" s="199"/>
    </row>
    <row r="12842" spans="9:10" x14ac:dyDescent="0.25">
      <c r="I12842" s="199"/>
      <c r="J12842" s="199"/>
    </row>
    <row r="12843" spans="9:10" x14ac:dyDescent="0.25">
      <c r="I12843" s="199"/>
      <c r="J12843" s="199"/>
    </row>
    <row r="12844" spans="9:10" x14ac:dyDescent="0.25">
      <c r="I12844" s="199"/>
      <c r="J12844" s="199"/>
    </row>
    <row r="12845" spans="9:10" x14ac:dyDescent="0.25">
      <c r="I12845" s="199"/>
      <c r="J12845" s="199"/>
    </row>
    <row r="12846" spans="9:10" x14ac:dyDescent="0.25">
      <c r="I12846" s="199"/>
      <c r="J12846" s="199"/>
    </row>
    <row r="12847" spans="9:10" x14ac:dyDescent="0.25">
      <c r="I12847" s="199"/>
      <c r="J12847" s="199"/>
    </row>
    <row r="12848" spans="9:10" x14ac:dyDescent="0.25">
      <c r="I12848" s="199"/>
      <c r="J12848" s="199"/>
    </row>
    <row r="12849" spans="9:10" x14ac:dyDescent="0.25">
      <c r="I12849" s="199"/>
      <c r="J12849" s="199"/>
    </row>
    <row r="12850" spans="9:10" x14ac:dyDescent="0.25">
      <c r="I12850" s="199"/>
      <c r="J12850" s="199"/>
    </row>
    <row r="12851" spans="9:10" x14ac:dyDescent="0.25">
      <c r="I12851" s="199"/>
      <c r="J12851" s="199"/>
    </row>
    <row r="12852" spans="9:10" x14ac:dyDescent="0.25">
      <c r="I12852" s="199"/>
      <c r="J12852" s="199"/>
    </row>
    <row r="12853" spans="9:10" x14ac:dyDescent="0.25">
      <c r="I12853" s="199"/>
      <c r="J12853" s="199"/>
    </row>
    <row r="12854" spans="9:10" x14ac:dyDescent="0.25">
      <c r="I12854" s="199"/>
      <c r="J12854" s="199"/>
    </row>
    <row r="12855" spans="9:10" x14ac:dyDescent="0.25">
      <c r="I12855" s="199"/>
      <c r="J12855" s="199"/>
    </row>
    <row r="12856" spans="9:10" x14ac:dyDescent="0.25">
      <c r="I12856" s="199"/>
      <c r="J12856" s="199"/>
    </row>
    <row r="12857" spans="9:10" x14ac:dyDescent="0.25">
      <c r="I12857" s="199"/>
      <c r="J12857" s="199"/>
    </row>
    <row r="12858" spans="9:10" x14ac:dyDescent="0.25">
      <c r="I12858" s="199"/>
      <c r="J12858" s="199"/>
    </row>
    <row r="12859" spans="9:10" x14ac:dyDescent="0.25">
      <c r="I12859" s="199"/>
      <c r="J12859" s="199"/>
    </row>
    <row r="12860" spans="9:10" x14ac:dyDescent="0.25">
      <c r="I12860" s="199"/>
      <c r="J12860" s="199"/>
    </row>
    <row r="12861" spans="9:10" x14ac:dyDescent="0.25">
      <c r="I12861" s="199"/>
      <c r="J12861" s="199"/>
    </row>
    <row r="12862" spans="9:10" x14ac:dyDescent="0.25">
      <c r="I12862" s="199"/>
      <c r="J12862" s="199"/>
    </row>
    <row r="12863" spans="9:10" x14ac:dyDescent="0.25">
      <c r="I12863" s="199"/>
      <c r="J12863" s="199"/>
    </row>
    <row r="12864" spans="9:10" x14ac:dyDescent="0.25">
      <c r="I12864" s="199"/>
      <c r="J12864" s="199"/>
    </row>
    <row r="12865" spans="9:10" x14ac:dyDescent="0.25">
      <c r="I12865" s="199"/>
      <c r="J12865" s="199"/>
    </row>
    <row r="12866" spans="9:10" x14ac:dyDescent="0.25">
      <c r="I12866" s="199"/>
      <c r="J12866" s="199"/>
    </row>
    <row r="12867" spans="9:10" x14ac:dyDescent="0.25">
      <c r="I12867" s="199"/>
      <c r="J12867" s="199"/>
    </row>
    <row r="12868" spans="9:10" x14ac:dyDescent="0.25">
      <c r="I12868" s="199"/>
      <c r="J12868" s="199"/>
    </row>
    <row r="12869" spans="9:10" x14ac:dyDescent="0.25">
      <c r="I12869" s="199"/>
      <c r="J12869" s="199"/>
    </row>
    <row r="12870" spans="9:10" x14ac:dyDescent="0.25">
      <c r="I12870" s="199"/>
      <c r="J12870" s="199"/>
    </row>
    <row r="12871" spans="9:10" x14ac:dyDescent="0.25">
      <c r="I12871" s="199"/>
      <c r="J12871" s="199"/>
    </row>
    <row r="12872" spans="9:10" x14ac:dyDescent="0.25">
      <c r="I12872" s="199"/>
      <c r="J12872" s="199"/>
    </row>
    <row r="12873" spans="9:10" x14ac:dyDescent="0.25">
      <c r="I12873" s="199"/>
      <c r="J12873" s="199"/>
    </row>
    <row r="12874" spans="9:10" x14ac:dyDescent="0.25">
      <c r="I12874" s="199"/>
      <c r="J12874" s="199"/>
    </row>
    <row r="12875" spans="9:10" x14ac:dyDescent="0.25">
      <c r="I12875" s="199"/>
      <c r="J12875" s="199"/>
    </row>
    <row r="12876" spans="9:10" x14ac:dyDescent="0.25">
      <c r="I12876" s="199"/>
      <c r="J12876" s="199"/>
    </row>
    <row r="12877" spans="9:10" x14ac:dyDescent="0.25">
      <c r="I12877" s="199"/>
      <c r="J12877" s="199"/>
    </row>
    <row r="12878" spans="9:10" x14ac:dyDescent="0.25">
      <c r="I12878" s="199"/>
      <c r="J12878" s="199"/>
    </row>
    <row r="12879" spans="9:10" x14ac:dyDescent="0.25">
      <c r="I12879" s="199"/>
      <c r="J12879" s="199"/>
    </row>
    <row r="12880" spans="9:10" x14ac:dyDescent="0.25">
      <c r="I12880" s="199"/>
      <c r="J12880" s="199"/>
    </row>
    <row r="12881" spans="9:10" x14ac:dyDescent="0.25">
      <c r="I12881" s="199"/>
      <c r="J12881" s="199"/>
    </row>
    <row r="12882" spans="9:10" x14ac:dyDescent="0.25">
      <c r="I12882" s="199"/>
      <c r="J12882" s="199"/>
    </row>
    <row r="12883" spans="9:10" x14ac:dyDescent="0.25">
      <c r="I12883" s="199"/>
      <c r="J12883" s="199"/>
    </row>
    <row r="12884" spans="9:10" x14ac:dyDescent="0.25">
      <c r="I12884" s="199"/>
      <c r="J12884" s="199"/>
    </row>
    <row r="12885" spans="9:10" x14ac:dyDescent="0.25">
      <c r="I12885" s="199"/>
      <c r="J12885" s="199"/>
    </row>
    <row r="12886" spans="9:10" x14ac:dyDescent="0.25">
      <c r="I12886" s="199"/>
      <c r="J12886" s="199"/>
    </row>
    <row r="12887" spans="9:10" x14ac:dyDescent="0.25">
      <c r="I12887" s="199"/>
      <c r="J12887" s="199"/>
    </row>
    <row r="12888" spans="9:10" x14ac:dyDescent="0.25">
      <c r="I12888" s="199"/>
      <c r="J12888" s="199"/>
    </row>
    <row r="12889" spans="9:10" x14ac:dyDescent="0.25">
      <c r="I12889" s="199"/>
      <c r="J12889" s="199"/>
    </row>
    <row r="12890" spans="9:10" x14ac:dyDescent="0.25">
      <c r="I12890" s="199"/>
      <c r="J12890" s="199"/>
    </row>
    <row r="12891" spans="9:10" x14ac:dyDescent="0.25">
      <c r="I12891" s="199"/>
      <c r="J12891" s="199"/>
    </row>
    <row r="12892" spans="9:10" x14ac:dyDescent="0.25">
      <c r="I12892" s="199"/>
      <c r="J12892" s="199"/>
    </row>
    <row r="12893" spans="9:10" x14ac:dyDescent="0.25">
      <c r="I12893" s="199"/>
      <c r="J12893" s="199"/>
    </row>
    <row r="12894" spans="9:10" x14ac:dyDescent="0.25">
      <c r="I12894" s="199"/>
      <c r="J12894" s="199"/>
    </row>
    <row r="12895" spans="9:10" x14ac:dyDescent="0.25">
      <c r="I12895" s="199"/>
      <c r="J12895" s="199"/>
    </row>
    <row r="12896" spans="9:10" x14ac:dyDescent="0.25">
      <c r="I12896" s="199"/>
      <c r="J12896" s="199"/>
    </row>
    <row r="12897" spans="9:10" x14ac:dyDescent="0.25">
      <c r="I12897" s="199"/>
      <c r="J12897" s="199"/>
    </row>
    <row r="12898" spans="9:10" x14ac:dyDescent="0.25">
      <c r="I12898" s="199"/>
      <c r="J12898" s="199"/>
    </row>
    <row r="12899" spans="9:10" x14ac:dyDescent="0.25">
      <c r="I12899" s="199"/>
      <c r="J12899" s="199"/>
    </row>
    <row r="12900" spans="9:10" x14ac:dyDescent="0.25">
      <c r="I12900" s="199"/>
      <c r="J12900" s="199"/>
    </row>
    <row r="12901" spans="9:10" x14ac:dyDescent="0.25">
      <c r="I12901" s="199"/>
      <c r="J12901" s="199"/>
    </row>
    <row r="12902" spans="9:10" x14ac:dyDescent="0.25">
      <c r="I12902" s="199"/>
      <c r="J12902" s="199"/>
    </row>
    <row r="12903" spans="9:10" x14ac:dyDescent="0.25">
      <c r="I12903" s="199"/>
      <c r="J12903" s="199"/>
    </row>
    <row r="12904" spans="9:10" x14ac:dyDescent="0.25">
      <c r="I12904" s="199"/>
      <c r="J12904" s="199"/>
    </row>
    <row r="12905" spans="9:10" x14ac:dyDescent="0.25">
      <c r="I12905" s="199"/>
      <c r="J12905" s="199"/>
    </row>
    <row r="12906" spans="9:10" x14ac:dyDescent="0.25">
      <c r="I12906" s="199"/>
      <c r="J12906" s="199"/>
    </row>
    <row r="12907" spans="9:10" x14ac:dyDescent="0.25">
      <c r="I12907" s="199"/>
      <c r="J12907" s="199"/>
    </row>
    <row r="12908" spans="9:10" x14ac:dyDescent="0.25">
      <c r="I12908" s="199"/>
      <c r="J12908" s="199"/>
    </row>
    <row r="12909" spans="9:10" x14ac:dyDescent="0.25">
      <c r="I12909" s="199"/>
      <c r="J12909" s="199"/>
    </row>
    <row r="12910" spans="9:10" x14ac:dyDescent="0.25">
      <c r="I12910" s="199"/>
      <c r="J12910" s="199"/>
    </row>
    <row r="12911" spans="9:10" x14ac:dyDescent="0.25">
      <c r="I12911" s="199"/>
      <c r="J12911" s="199"/>
    </row>
    <row r="12912" spans="9:10" x14ac:dyDescent="0.25">
      <c r="I12912" s="199"/>
      <c r="J12912" s="199"/>
    </row>
    <row r="12913" spans="9:10" x14ac:dyDescent="0.25">
      <c r="I12913" s="199"/>
      <c r="J12913" s="199"/>
    </row>
    <row r="12914" spans="9:10" x14ac:dyDescent="0.25">
      <c r="I12914" s="199"/>
      <c r="J12914" s="199"/>
    </row>
    <row r="12915" spans="9:10" x14ac:dyDescent="0.25">
      <c r="I12915" s="199"/>
      <c r="J12915" s="199"/>
    </row>
    <row r="12916" spans="9:10" x14ac:dyDescent="0.25">
      <c r="I12916" s="199"/>
      <c r="J12916" s="199"/>
    </row>
    <row r="12917" spans="9:10" x14ac:dyDescent="0.25">
      <c r="I12917" s="199"/>
      <c r="J12917" s="199"/>
    </row>
    <row r="12918" spans="9:10" x14ac:dyDescent="0.25">
      <c r="I12918" s="199"/>
      <c r="J12918" s="199"/>
    </row>
    <row r="12919" spans="9:10" x14ac:dyDescent="0.25">
      <c r="I12919" s="199"/>
      <c r="J12919" s="199"/>
    </row>
    <row r="12920" spans="9:10" x14ac:dyDescent="0.25">
      <c r="I12920" s="199"/>
      <c r="J12920" s="199"/>
    </row>
    <row r="12921" spans="9:10" x14ac:dyDescent="0.25">
      <c r="I12921" s="199"/>
      <c r="J12921" s="199"/>
    </row>
    <row r="12922" spans="9:10" x14ac:dyDescent="0.25">
      <c r="I12922" s="199"/>
      <c r="J12922" s="199"/>
    </row>
    <row r="12923" spans="9:10" x14ac:dyDescent="0.25">
      <c r="I12923" s="199"/>
      <c r="J12923" s="199"/>
    </row>
    <row r="12924" spans="9:10" x14ac:dyDescent="0.25">
      <c r="I12924" s="199"/>
      <c r="J12924" s="199"/>
    </row>
    <row r="12925" spans="9:10" x14ac:dyDescent="0.25">
      <c r="I12925" s="199"/>
      <c r="J12925" s="199"/>
    </row>
    <row r="12926" spans="9:10" x14ac:dyDescent="0.25">
      <c r="I12926" s="199"/>
      <c r="J12926" s="199"/>
    </row>
    <row r="12927" spans="9:10" x14ac:dyDescent="0.25">
      <c r="I12927" s="199"/>
      <c r="J12927" s="199"/>
    </row>
    <row r="12928" spans="9:10" x14ac:dyDescent="0.25">
      <c r="I12928" s="199"/>
      <c r="J12928" s="199"/>
    </row>
    <row r="12929" spans="9:10" x14ac:dyDescent="0.25">
      <c r="I12929" s="199"/>
      <c r="J12929" s="199"/>
    </row>
    <row r="12930" spans="9:10" x14ac:dyDescent="0.25">
      <c r="I12930" s="199"/>
      <c r="J12930" s="199"/>
    </row>
    <row r="12931" spans="9:10" x14ac:dyDescent="0.25">
      <c r="I12931" s="199"/>
      <c r="J12931" s="199"/>
    </row>
    <row r="12932" spans="9:10" x14ac:dyDescent="0.25">
      <c r="I12932" s="199"/>
      <c r="J12932" s="199"/>
    </row>
    <row r="12933" spans="9:10" x14ac:dyDescent="0.25">
      <c r="I12933" s="199"/>
      <c r="J12933" s="199"/>
    </row>
    <row r="12934" spans="9:10" x14ac:dyDescent="0.25">
      <c r="I12934" s="199"/>
      <c r="J12934" s="199"/>
    </row>
    <row r="12935" spans="9:10" x14ac:dyDescent="0.25">
      <c r="I12935" s="199"/>
      <c r="J12935" s="199"/>
    </row>
    <row r="12936" spans="9:10" x14ac:dyDescent="0.25">
      <c r="I12936" s="199"/>
      <c r="J12936" s="199"/>
    </row>
    <row r="12937" spans="9:10" x14ac:dyDescent="0.25">
      <c r="I12937" s="199"/>
      <c r="J12937" s="199"/>
    </row>
    <row r="12938" spans="9:10" x14ac:dyDescent="0.25">
      <c r="I12938" s="199"/>
      <c r="J12938" s="199"/>
    </row>
    <row r="12939" spans="9:10" x14ac:dyDescent="0.25">
      <c r="I12939" s="199"/>
      <c r="J12939" s="199"/>
    </row>
    <row r="12940" spans="9:10" x14ac:dyDescent="0.25">
      <c r="I12940" s="199"/>
      <c r="J12940" s="199"/>
    </row>
    <row r="12941" spans="9:10" x14ac:dyDescent="0.25">
      <c r="I12941" s="199"/>
      <c r="J12941" s="199"/>
    </row>
    <row r="12942" spans="9:10" x14ac:dyDescent="0.25">
      <c r="I12942" s="199"/>
      <c r="J12942" s="199"/>
    </row>
    <row r="12943" spans="9:10" x14ac:dyDescent="0.25">
      <c r="I12943" s="199"/>
      <c r="J12943" s="199"/>
    </row>
    <row r="12944" spans="9:10" x14ac:dyDescent="0.25">
      <c r="I12944" s="199"/>
      <c r="J12944" s="199"/>
    </row>
    <row r="12945" spans="9:10" x14ac:dyDescent="0.25">
      <c r="I12945" s="199"/>
      <c r="J12945" s="199"/>
    </row>
    <row r="12946" spans="9:10" x14ac:dyDescent="0.25">
      <c r="I12946" s="199"/>
      <c r="J12946" s="199"/>
    </row>
    <row r="12947" spans="9:10" x14ac:dyDescent="0.25">
      <c r="I12947" s="199"/>
      <c r="J12947" s="199"/>
    </row>
    <row r="12948" spans="9:10" x14ac:dyDescent="0.25">
      <c r="I12948" s="199"/>
      <c r="J12948" s="199"/>
    </row>
    <row r="12949" spans="9:10" x14ac:dyDescent="0.25">
      <c r="I12949" s="199"/>
      <c r="J12949" s="199"/>
    </row>
    <row r="12950" spans="9:10" x14ac:dyDescent="0.25">
      <c r="I12950" s="199"/>
      <c r="J12950" s="199"/>
    </row>
    <row r="12951" spans="9:10" x14ac:dyDescent="0.25">
      <c r="I12951" s="199"/>
      <c r="J12951" s="199"/>
    </row>
    <row r="12952" spans="9:10" x14ac:dyDescent="0.25">
      <c r="I12952" s="199"/>
      <c r="J12952" s="199"/>
    </row>
    <row r="12953" spans="9:10" x14ac:dyDescent="0.25">
      <c r="I12953" s="199"/>
      <c r="J12953" s="199"/>
    </row>
    <row r="12954" spans="9:10" x14ac:dyDescent="0.25">
      <c r="I12954" s="199"/>
      <c r="J12954" s="199"/>
    </row>
    <row r="12955" spans="9:10" x14ac:dyDescent="0.25">
      <c r="I12955" s="199"/>
      <c r="J12955" s="199"/>
    </row>
    <row r="12956" spans="9:10" x14ac:dyDescent="0.25">
      <c r="I12956" s="199"/>
      <c r="J12956" s="199"/>
    </row>
    <row r="12957" spans="9:10" x14ac:dyDescent="0.25">
      <c r="I12957" s="199"/>
      <c r="J12957" s="199"/>
    </row>
    <row r="12958" spans="9:10" x14ac:dyDescent="0.25">
      <c r="I12958" s="199"/>
      <c r="J12958" s="199"/>
    </row>
    <row r="12959" spans="9:10" x14ac:dyDescent="0.25">
      <c r="I12959" s="199"/>
      <c r="J12959" s="199"/>
    </row>
    <row r="12960" spans="9:10" x14ac:dyDescent="0.25">
      <c r="I12960" s="199"/>
      <c r="J12960" s="199"/>
    </row>
    <row r="12961" spans="9:10" x14ac:dyDescent="0.25">
      <c r="I12961" s="199"/>
      <c r="J12961" s="199"/>
    </row>
    <row r="12962" spans="9:10" x14ac:dyDescent="0.25">
      <c r="I12962" s="199"/>
      <c r="J12962" s="199"/>
    </row>
    <row r="12963" spans="9:10" x14ac:dyDescent="0.25">
      <c r="I12963" s="199"/>
      <c r="J12963" s="199"/>
    </row>
    <row r="12964" spans="9:10" x14ac:dyDescent="0.25">
      <c r="I12964" s="199"/>
      <c r="J12964" s="199"/>
    </row>
    <row r="12965" spans="9:10" x14ac:dyDescent="0.25">
      <c r="I12965" s="199"/>
      <c r="J12965" s="199"/>
    </row>
    <row r="12966" spans="9:10" x14ac:dyDescent="0.25">
      <c r="I12966" s="199"/>
      <c r="J12966" s="199"/>
    </row>
    <row r="12967" spans="9:10" x14ac:dyDescent="0.25">
      <c r="I12967" s="199"/>
      <c r="J12967" s="199"/>
    </row>
    <row r="12968" spans="9:10" x14ac:dyDescent="0.25">
      <c r="I12968" s="199"/>
      <c r="J12968" s="199"/>
    </row>
    <row r="12969" spans="9:10" x14ac:dyDescent="0.25">
      <c r="I12969" s="199"/>
      <c r="J12969" s="199"/>
    </row>
    <row r="12970" spans="9:10" x14ac:dyDescent="0.25">
      <c r="I12970" s="199"/>
      <c r="J12970" s="199"/>
    </row>
    <row r="12971" spans="9:10" x14ac:dyDescent="0.25">
      <c r="I12971" s="199"/>
      <c r="J12971" s="199"/>
    </row>
    <row r="12972" spans="9:10" x14ac:dyDescent="0.25">
      <c r="I12972" s="199"/>
      <c r="J12972" s="199"/>
    </row>
    <row r="12973" spans="9:10" x14ac:dyDescent="0.25">
      <c r="I12973" s="199"/>
      <c r="J12973" s="199"/>
    </row>
    <row r="12974" spans="9:10" x14ac:dyDescent="0.25">
      <c r="I12974" s="199"/>
      <c r="J12974" s="199"/>
    </row>
    <row r="12975" spans="9:10" x14ac:dyDescent="0.25">
      <c r="I12975" s="199"/>
      <c r="J12975" s="199"/>
    </row>
    <row r="12976" spans="9:10" x14ac:dyDescent="0.25">
      <c r="I12976" s="199"/>
      <c r="J12976" s="199"/>
    </row>
    <row r="12977" spans="9:10" x14ac:dyDescent="0.25">
      <c r="I12977" s="199"/>
      <c r="J12977" s="199"/>
    </row>
    <row r="12978" spans="9:10" x14ac:dyDescent="0.25">
      <c r="I12978" s="199"/>
      <c r="J12978" s="199"/>
    </row>
    <row r="12979" spans="9:10" x14ac:dyDescent="0.25">
      <c r="I12979" s="199"/>
      <c r="J12979" s="199"/>
    </row>
    <row r="12980" spans="9:10" x14ac:dyDescent="0.25">
      <c r="I12980" s="199"/>
      <c r="J12980" s="199"/>
    </row>
    <row r="12981" spans="9:10" x14ac:dyDescent="0.25">
      <c r="I12981" s="199"/>
      <c r="J12981" s="199"/>
    </row>
    <row r="12982" spans="9:10" x14ac:dyDescent="0.25">
      <c r="I12982" s="199"/>
      <c r="J12982" s="199"/>
    </row>
    <row r="12983" spans="9:10" x14ac:dyDescent="0.25">
      <c r="I12983" s="199"/>
      <c r="J12983" s="199"/>
    </row>
    <row r="12984" spans="9:10" x14ac:dyDescent="0.25">
      <c r="I12984" s="199"/>
      <c r="J12984" s="199"/>
    </row>
    <row r="12985" spans="9:10" x14ac:dyDescent="0.25">
      <c r="I12985" s="199"/>
      <c r="J12985" s="199"/>
    </row>
    <row r="12986" spans="9:10" x14ac:dyDescent="0.25">
      <c r="I12986" s="199"/>
      <c r="J12986" s="199"/>
    </row>
    <row r="12987" spans="9:10" x14ac:dyDescent="0.25">
      <c r="I12987" s="199"/>
      <c r="J12987" s="199"/>
    </row>
    <row r="12988" spans="9:10" x14ac:dyDescent="0.25">
      <c r="I12988" s="199"/>
      <c r="J12988" s="199"/>
    </row>
    <row r="12989" spans="9:10" x14ac:dyDescent="0.25">
      <c r="I12989" s="199"/>
      <c r="J12989" s="199"/>
    </row>
    <row r="12990" spans="9:10" x14ac:dyDescent="0.25">
      <c r="I12990" s="199"/>
      <c r="J12990" s="199"/>
    </row>
    <row r="12991" spans="9:10" x14ac:dyDescent="0.25">
      <c r="I12991" s="199"/>
      <c r="J12991" s="199"/>
    </row>
    <row r="12992" spans="9:10" x14ac:dyDescent="0.25">
      <c r="I12992" s="199"/>
      <c r="J12992" s="199"/>
    </row>
    <row r="12993" spans="9:10" x14ac:dyDescent="0.25">
      <c r="I12993" s="199"/>
      <c r="J12993" s="199"/>
    </row>
    <row r="12994" spans="9:10" x14ac:dyDescent="0.25">
      <c r="I12994" s="199"/>
      <c r="J12994" s="199"/>
    </row>
    <row r="12995" spans="9:10" x14ac:dyDescent="0.25">
      <c r="I12995" s="199"/>
      <c r="J12995" s="199"/>
    </row>
    <row r="12996" spans="9:10" x14ac:dyDescent="0.25">
      <c r="I12996" s="199"/>
      <c r="J12996" s="199"/>
    </row>
    <row r="12997" spans="9:10" x14ac:dyDescent="0.25">
      <c r="I12997" s="199"/>
      <c r="J12997" s="199"/>
    </row>
    <row r="12998" spans="9:10" x14ac:dyDescent="0.25">
      <c r="I12998" s="199"/>
      <c r="J12998" s="199"/>
    </row>
    <row r="12999" spans="9:10" x14ac:dyDescent="0.25">
      <c r="I12999" s="199"/>
      <c r="J12999" s="199"/>
    </row>
    <row r="13000" spans="9:10" x14ac:dyDescent="0.25">
      <c r="I13000" s="199"/>
      <c r="J13000" s="199"/>
    </row>
    <row r="13001" spans="9:10" x14ac:dyDescent="0.25">
      <c r="I13001" s="199"/>
      <c r="J13001" s="199"/>
    </row>
    <row r="13002" spans="9:10" x14ac:dyDescent="0.25">
      <c r="I13002" s="199"/>
      <c r="J13002" s="199"/>
    </row>
    <row r="13003" spans="9:10" x14ac:dyDescent="0.25">
      <c r="I13003" s="199"/>
      <c r="J13003" s="199"/>
    </row>
    <row r="13004" spans="9:10" x14ac:dyDescent="0.25">
      <c r="I13004" s="199"/>
      <c r="J13004" s="199"/>
    </row>
    <row r="13005" spans="9:10" x14ac:dyDescent="0.25">
      <c r="I13005" s="199"/>
      <c r="J13005" s="199"/>
    </row>
    <row r="13006" spans="9:10" x14ac:dyDescent="0.25">
      <c r="I13006" s="199"/>
      <c r="J13006" s="199"/>
    </row>
    <row r="13007" spans="9:10" x14ac:dyDescent="0.25">
      <c r="I13007" s="199"/>
      <c r="J13007" s="199"/>
    </row>
    <row r="13008" spans="9:10" x14ac:dyDescent="0.25">
      <c r="I13008" s="199"/>
      <c r="J13008" s="199"/>
    </row>
    <row r="13009" spans="9:10" x14ac:dyDescent="0.25">
      <c r="I13009" s="199"/>
      <c r="J13009" s="199"/>
    </row>
    <row r="13010" spans="9:10" x14ac:dyDescent="0.25">
      <c r="I13010" s="199"/>
      <c r="J13010" s="199"/>
    </row>
    <row r="13011" spans="9:10" x14ac:dyDescent="0.25">
      <c r="I13011" s="199"/>
      <c r="J13011" s="199"/>
    </row>
    <row r="13012" spans="9:10" x14ac:dyDescent="0.25">
      <c r="I13012" s="199"/>
      <c r="J13012" s="199"/>
    </row>
    <row r="13013" spans="9:10" x14ac:dyDescent="0.25">
      <c r="I13013" s="199"/>
      <c r="J13013" s="199"/>
    </row>
    <row r="13014" spans="9:10" x14ac:dyDescent="0.25">
      <c r="I13014" s="199"/>
      <c r="J13014" s="199"/>
    </row>
    <row r="13015" spans="9:10" x14ac:dyDescent="0.25">
      <c r="I13015" s="199"/>
      <c r="J13015" s="199"/>
    </row>
    <row r="13016" spans="9:10" x14ac:dyDescent="0.25">
      <c r="I13016" s="199"/>
      <c r="J13016" s="199"/>
    </row>
    <row r="13017" spans="9:10" x14ac:dyDescent="0.25">
      <c r="I13017" s="199"/>
      <c r="J13017" s="199"/>
    </row>
    <row r="13018" spans="9:10" x14ac:dyDescent="0.25">
      <c r="I13018" s="199"/>
      <c r="J13018" s="199"/>
    </row>
    <row r="13019" spans="9:10" x14ac:dyDescent="0.25">
      <c r="I13019" s="199"/>
      <c r="J13019" s="199"/>
    </row>
    <row r="13020" spans="9:10" x14ac:dyDescent="0.25">
      <c r="I13020" s="199"/>
      <c r="J13020" s="199"/>
    </row>
    <row r="13021" spans="9:10" x14ac:dyDescent="0.25">
      <c r="I13021" s="199"/>
      <c r="J13021" s="199"/>
    </row>
    <row r="13022" spans="9:10" x14ac:dyDescent="0.25">
      <c r="I13022" s="199"/>
      <c r="J13022" s="199"/>
    </row>
    <row r="13023" spans="9:10" x14ac:dyDescent="0.25">
      <c r="I13023" s="199"/>
      <c r="J13023" s="199"/>
    </row>
    <row r="13024" spans="9:10" x14ac:dyDescent="0.25">
      <c r="I13024" s="199"/>
      <c r="J13024" s="199"/>
    </row>
    <row r="13025" spans="9:10" x14ac:dyDescent="0.25">
      <c r="I13025" s="199"/>
      <c r="J13025" s="199"/>
    </row>
    <row r="13026" spans="9:10" x14ac:dyDescent="0.25">
      <c r="I13026" s="199"/>
      <c r="J13026" s="199"/>
    </row>
    <row r="13027" spans="9:10" x14ac:dyDescent="0.25">
      <c r="I13027" s="199"/>
      <c r="J13027" s="199"/>
    </row>
    <row r="13028" spans="9:10" x14ac:dyDescent="0.25">
      <c r="I13028" s="199"/>
      <c r="J13028" s="199"/>
    </row>
    <row r="13029" spans="9:10" x14ac:dyDescent="0.25">
      <c r="I13029" s="199"/>
      <c r="J13029" s="199"/>
    </row>
    <row r="13030" spans="9:10" x14ac:dyDescent="0.25">
      <c r="I13030" s="199"/>
      <c r="J13030" s="199"/>
    </row>
    <row r="13031" spans="9:10" x14ac:dyDescent="0.25">
      <c r="I13031" s="199"/>
      <c r="J13031" s="199"/>
    </row>
    <row r="13032" spans="9:10" x14ac:dyDescent="0.25">
      <c r="I13032" s="199"/>
      <c r="J13032" s="199"/>
    </row>
    <row r="13033" spans="9:10" x14ac:dyDescent="0.25">
      <c r="I13033" s="199"/>
      <c r="J13033" s="199"/>
    </row>
    <row r="13034" spans="9:10" x14ac:dyDescent="0.25">
      <c r="I13034" s="199"/>
      <c r="J13034" s="199"/>
    </row>
    <row r="13035" spans="9:10" x14ac:dyDescent="0.25">
      <c r="I13035" s="199"/>
      <c r="J13035" s="199"/>
    </row>
    <row r="13036" spans="9:10" x14ac:dyDescent="0.25">
      <c r="I13036" s="199"/>
      <c r="J13036" s="199"/>
    </row>
    <row r="13037" spans="9:10" x14ac:dyDescent="0.25">
      <c r="I13037" s="199"/>
      <c r="J13037" s="199"/>
    </row>
    <row r="13038" spans="9:10" x14ac:dyDescent="0.25">
      <c r="I13038" s="199"/>
      <c r="J13038" s="199"/>
    </row>
    <row r="13039" spans="9:10" x14ac:dyDescent="0.25">
      <c r="I13039" s="199"/>
      <c r="J13039" s="199"/>
    </row>
    <row r="13040" spans="9:10" x14ac:dyDescent="0.25">
      <c r="I13040" s="199"/>
      <c r="J13040" s="199"/>
    </row>
    <row r="13041" spans="9:10" x14ac:dyDescent="0.25">
      <c r="I13041" s="199"/>
      <c r="J13041" s="199"/>
    </row>
    <row r="13042" spans="9:10" x14ac:dyDescent="0.25">
      <c r="I13042" s="199"/>
      <c r="J13042" s="199"/>
    </row>
    <row r="13043" spans="9:10" x14ac:dyDescent="0.25">
      <c r="I13043" s="199"/>
      <c r="J13043" s="199"/>
    </row>
    <row r="13044" spans="9:10" x14ac:dyDescent="0.25">
      <c r="I13044" s="199"/>
      <c r="J13044" s="199"/>
    </row>
    <row r="13045" spans="9:10" x14ac:dyDescent="0.25">
      <c r="I13045" s="199"/>
      <c r="J13045" s="199"/>
    </row>
    <row r="13046" spans="9:10" x14ac:dyDescent="0.25">
      <c r="I13046" s="199"/>
      <c r="J13046" s="199"/>
    </row>
    <row r="13047" spans="9:10" x14ac:dyDescent="0.25">
      <c r="I13047" s="199"/>
      <c r="J13047" s="199"/>
    </row>
    <row r="13048" spans="9:10" x14ac:dyDescent="0.25">
      <c r="I13048" s="199"/>
      <c r="J13048" s="199"/>
    </row>
    <row r="13049" spans="9:10" x14ac:dyDescent="0.25">
      <c r="I13049" s="199"/>
      <c r="J13049" s="199"/>
    </row>
    <row r="13050" spans="9:10" x14ac:dyDescent="0.25">
      <c r="I13050" s="199"/>
      <c r="J13050" s="199"/>
    </row>
    <row r="13051" spans="9:10" x14ac:dyDescent="0.25">
      <c r="I13051" s="199"/>
      <c r="J13051" s="199"/>
    </row>
    <row r="13052" spans="9:10" x14ac:dyDescent="0.25">
      <c r="I13052" s="199"/>
      <c r="J13052" s="199"/>
    </row>
    <row r="13053" spans="9:10" x14ac:dyDescent="0.25">
      <c r="I13053" s="199"/>
      <c r="J13053" s="199"/>
    </row>
    <row r="13054" spans="9:10" x14ac:dyDescent="0.25">
      <c r="I13054" s="199"/>
      <c r="J13054" s="199"/>
    </row>
    <row r="13055" spans="9:10" x14ac:dyDescent="0.25">
      <c r="I13055" s="199"/>
      <c r="J13055" s="199"/>
    </row>
    <row r="13056" spans="9:10" x14ac:dyDescent="0.25">
      <c r="I13056" s="199"/>
      <c r="J13056" s="199"/>
    </row>
    <row r="13057" spans="9:10" x14ac:dyDescent="0.25">
      <c r="I13057" s="199"/>
      <c r="J13057" s="199"/>
    </row>
    <row r="13058" spans="9:10" x14ac:dyDescent="0.25">
      <c r="I13058" s="199"/>
      <c r="J13058" s="199"/>
    </row>
    <row r="13059" spans="9:10" x14ac:dyDescent="0.25">
      <c r="I13059" s="199"/>
      <c r="J13059" s="199"/>
    </row>
    <row r="13060" spans="9:10" x14ac:dyDescent="0.25">
      <c r="I13060" s="199"/>
      <c r="J13060" s="199"/>
    </row>
    <row r="13061" spans="9:10" x14ac:dyDescent="0.25">
      <c r="I13061" s="199"/>
      <c r="J13061" s="199"/>
    </row>
    <row r="13062" spans="9:10" x14ac:dyDescent="0.25">
      <c r="I13062" s="199"/>
      <c r="J13062" s="199"/>
    </row>
    <row r="13063" spans="9:10" x14ac:dyDescent="0.25">
      <c r="I13063" s="199"/>
      <c r="J13063" s="199"/>
    </row>
    <row r="13064" spans="9:10" x14ac:dyDescent="0.25">
      <c r="I13064" s="199"/>
      <c r="J13064" s="199"/>
    </row>
    <row r="13065" spans="9:10" x14ac:dyDescent="0.25">
      <c r="I13065" s="199"/>
      <c r="J13065" s="199"/>
    </row>
    <row r="13066" spans="9:10" x14ac:dyDescent="0.25">
      <c r="I13066" s="199"/>
      <c r="J13066" s="199"/>
    </row>
    <row r="13067" spans="9:10" x14ac:dyDescent="0.25">
      <c r="I13067" s="199"/>
      <c r="J13067" s="199"/>
    </row>
    <row r="13068" spans="9:10" x14ac:dyDescent="0.25">
      <c r="I13068" s="199"/>
      <c r="J13068" s="199"/>
    </row>
    <row r="13069" spans="9:10" x14ac:dyDescent="0.25">
      <c r="I13069" s="199"/>
      <c r="J13069" s="199"/>
    </row>
    <row r="13070" spans="9:10" x14ac:dyDescent="0.25">
      <c r="I13070" s="199"/>
      <c r="J13070" s="199"/>
    </row>
    <row r="13071" spans="9:10" x14ac:dyDescent="0.25">
      <c r="I13071" s="199"/>
      <c r="J13071" s="199"/>
    </row>
    <row r="13072" spans="9:10" x14ac:dyDescent="0.25">
      <c r="I13072" s="199"/>
      <c r="J13072" s="199"/>
    </row>
    <row r="13073" spans="9:10" x14ac:dyDescent="0.25">
      <c r="I13073" s="199"/>
      <c r="J13073" s="199"/>
    </row>
    <row r="13074" spans="9:10" x14ac:dyDescent="0.25">
      <c r="I13074" s="199"/>
      <c r="J13074" s="199"/>
    </row>
    <row r="13075" spans="9:10" x14ac:dyDescent="0.25">
      <c r="I13075" s="199"/>
      <c r="J13075" s="199"/>
    </row>
    <row r="13076" spans="9:10" x14ac:dyDescent="0.25">
      <c r="I13076" s="199"/>
      <c r="J13076" s="199"/>
    </row>
    <row r="13077" spans="9:10" x14ac:dyDescent="0.25">
      <c r="I13077" s="199"/>
      <c r="J13077" s="199"/>
    </row>
    <row r="13078" spans="9:10" x14ac:dyDescent="0.25">
      <c r="I13078" s="199"/>
      <c r="J13078" s="199"/>
    </row>
    <row r="13079" spans="9:10" x14ac:dyDescent="0.25">
      <c r="I13079" s="199"/>
      <c r="J13079" s="199"/>
    </row>
    <row r="13080" spans="9:10" x14ac:dyDescent="0.25">
      <c r="I13080" s="199"/>
      <c r="J13080" s="199"/>
    </row>
    <row r="13081" spans="9:10" x14ac:dyDescent="0.25">
      <c r="I13081" s="199"/>
      <c r="J13081" s="199"/>
    </row>
    <row r="13082" spans="9:10" x14ac:dyDescent="0.25">
      <c r="I13082" s="199"/>
      <c r="J13082" s="199"/>
    </row>
    <row r="13083" spans="9:10" x14ac:dyDescent="0.25">
      <c r="I13083" s="199"/>
      <c r="J13083" s="199"/>
    </row>
    <row r="13084" spans="9:10" x14ac:dyDescent="0.25">
      <c r="I13084" s="199"/>
      <c r="J13084" s="199"/>
    </row>
    <row r="13085" spans="9:10" x14ac:dyDescent="0.25">
      <c r="I13085" s="199"/>
      <c r="J13085" s="199"/>
    </row>
    <row r="13086" spans="9:10" x14ac:dyDescent="0.25">
      <c r="I13086" s="199"/>
      <c r="J13086" s="199"/>
    </row>
    <row r="13087" spans="9:10" x14ac:dyDescent="0.25">
      <c r="I13087" s="199"/>
      <c r="J13087" s="199"/>
    </row>
    <row r="13088" spans="9:10" x14ac:dyDescent="0.25">
      <c r="I13088" s="199"/>
      <c r="J13088" s="199"/>
    </row>
    <row r="13089" spans="9:10" x14ac:dyDescent="0.25">
      <c r="I13089" s="199"/>
      <c r="J13089" s="199"/>
    </row>
    <row r="13090" spans="9:10" x14ac:dyDescent="0.25">
      <c r="I13090" s="199"/>
      <c r="J13090" s="199"/>
    </row>
    <row r="13091" spans="9:10" x14ac:dyDescent="0.25">
      <c r="I13091" s="199"/>
      <c r="J13091" s="199"/>
    </row>
    <row r="13092" spans="9:10" x14ac:dyDescent="0.25">
      <c r="I13092" s="199"/>
      <c r="J13092" s="199"/>
    </row>
    <row r="13093" spans="9:10" x14ac:dyDescent="0.25">
      <c r="I13093" s="199"/>
      <c r="J13093" s="199"/>
    </row>
    <row r="13094" spans="9:10" x14ac:dyDescent="0.25">
      <c r="I13094" s="199"/>
      <c r="J13094" s="199"/>
    </row>
    <row r="13095" spans="9:10" x14ac:dyDescent="0.25">
      <c r="I13095" s="199"/>
      <c r="J13095" s="199"/>
    </row>
    <row r="13096" spans="9:10" x14ac:dyDescent="0.25">
      <c r="I13096" s="199"/>
      <c r="J13096" s="199"/>
    </row>
    <row r="13097" spans="9:10" x14ac:dyDescent="0.25">
      <c r="I13097" s="199"/>
      <c r="J13097" s="199"/>
    </row>
    <row r="13098" spans="9:10" x14ac:dyDescent="0.25">
      <c r="I13098" s="199"/>
      <c r="J13098" s="199"/>
    </row>
    <row r="13099" spans="9:10" x14ac:dyDescent="0.25">
      <c r="I13099" s="199"/>
      <c r="J13099" s="199"/>
    </row>
    <row r="13100" spans="9:10" x14ac:dyDescent="0.25">
      <c r="I13100" s="199"/>
      <c r="J13100" s="199"/>
    </row>
    <row r="13101" spans="9:10" x14ac:dyDescent="0.25">
      <c r="I13101" s="199"/>
      <c r="J13101" s="199"/>
    </row>
    <row r="13102" spans="9:10" x14ac:dyDescent="0.25">
      <c r="I13102" s="199"/>
      <c r="J13102" s="199"/>
    </row>
    <row r="13103" spans="9:10" x14ac:dyDescent="0.25">
      <c r="I13103" s="199"/>
      <c r="J13103" s="199"/>
    </row>
    <row r="13104" spans="9:10" x14ac:dyDescent="0.25">
      <c r="I13104" s="199"/>
      <c r="J13104" s="199"/>
    </row>
    <row r="13105" spans="9:10" x14ac:dyDescent="0.25">
      <c r="I13105" s="199"/>
      <c r="J13105" s="199"/>
    </row>
    <row r="13106" spans="9:10" x14ac:dyDescent="0.25">
      <c r="I13106" s="199"/>
      <c r="J13106" s="199"/>
    </row>
    <row r="13107" spans="9:10" x14ac:dyDescent="0.25">
      <c r="I13107" s="199"/>
      <c r="J13107" s="199"/>
    </row>
    <row r="13108" spans="9:10" x14ac:dyDescent="0.25">
      <c r="I13108" s="199"/>
      <c r="J13108" s="199"/>
    </row>
    <row r="13109" spans="9:10" x14ac:dyDescent="0.25">
      <c r="I13109" s="199"/>
      <c r="J13109" s="199"/>
    </row>
    <row r="13110" spans="9:10" x14ac:dyDescent="0.25">
      <c r="I13110" s="199"/>
      <c r="J13110" s="199"/>
    </row>
    <row r="13111" spans="9:10" x14ac:dyDescent="0.25">
      <c r="I13111" s="199"/>
      <c r="J13111" s="199"/>
    </row>
    <row r="13112" spans="9:10" x14ac:dyDescent="0.25">
      <c r="I13112" s="199"/>
      <c r="J13112" s="199"/>
    </row>
    <row r="13113" spans="9:10" x14ac:dyDescent="0.25">
      <c r="I13113" s="199"/>
      <c r="J13113" s="199"/>
    </row>
    <row r="13114" spans="9:10" x14ac:dyDescent="0.25">
      <c r="I13114" s="199"/>
      <c r="J13114" s="199"/>
    </row>
    <row r="13115" spans="9:10" x14ac:dyDescent="0.25">
      <c r="I13115" s="199"/>
      <c r="J13115" s="199"/>
    </row>
    <row r="13116" spans="9:10" x14ac:dyDescent="0.25">
      <c r="I13116" s="199"/>
      <c r="J13116" s="199"/>
    </row>
    <row r="13117" spans="9:10" x14ac:dyDescent="0.25">
      <c r="I13117" s="199"/>
      <c r="J13117" s="199"/>
    </row>
    <row r="13118" spans="9:10" x14ac:dyDescent="0.25">
      <c r="I13118" s="199"/>
      <c r="J13118" s="199"/>
    </row>
    <row r="13119" spans="9:10" x14ac:dyDescent="0.25">
      <c r="I13119" s="199"/>
      <c r="J13119" s="199"/>
    </row>
    <row r="13120" spans="9:10" x14ac:dyDescent="0.25">
      <c r="I13120" s="199"/>
      <c r="J13120" s="199"/>
    </row>
    <row r="13121" spans="9:10" x14ac:dyDescent="0.25">
      <c r="I13121" s="199"/>
      <c r="J13121" s="199"/>
    </row>
    <row r="13122" spans="9:10" x14ac:dyDescent="0.25">
      <c r="I13122" s="199"/>
      <c r="J13122" s="199"/>
    </row>
    <row r="13123" spans="9:10" x14ac:dyDescent="0.25">
      <c r="I13123" s="199"/>
      <c r="J13123" s="199"/>
    </row>
    <row r="13124" spans="9:10" x14ac:dyDescent="0.25">
      <c r="I13124" s="199"/>
      <c r="J13124" s="199"/>
    </row>
    <row r="13125" spans="9:10" x14ac:dyDescent="0.25">
      <c r="I13125" s="199"/>
      <c r="J13125" s="199"/>
    </row>
    <row r="13126" spans="9:10" x14ac:dyDescent="0.25">
      <c r="I13126" s="199"/>
      <c r="J13126" s="199"/>
    </row>
    <row r="13127" spans="9:10" x14ac:dyDescent="0.25">
      <c r="I13127" s="199"/>
      <c r="J13127" s="199"/>
    </row>
    <row r="13128" spans="9:10" x14ac:dyDescent="0.25">
      <c r="I13128" s="199"/>
      <c r="J13128" s="199"/>
    </row>
    <row r="13129" spans="9:10" x14ac:dyDescent="0.25">
      <c r="I13129" s="199"/>
      <c r="J13129" s="199"/>
    </row>
    <row r="13130" spans="9:10" x14ac:dyDescent="0.25">
      <c r="I13130" s="199"/>
      <c r="J13130" s="199"/>
    </row>
    <row r="13131" spans="9:10" x14ac:dyDescent="0.25">
      <c r="I13131" s="199"/>
      <c r="J13131" s="199"/>
    </row>
    <row r="13132" spans="9:10" x14ac:dyDescent="0.25">
      <c r="I13132" s="199"/>
      <c r="J13132" s="199"/>
    </row>
    <row r="13133" spans="9:10" x14ac:dyDescent="0.25">
      <c r="I13133" s="199"/>
      <c r="J13133" s="199"/>
    </row>
    <row r="13134" spans="9:10" x14ac:dyDescent="0.25">
      <c r="I13134" s="199"/>
      <c r="J13134" s="199"/>
    </row>
    <row r="13135" spans="9:10" x14ac:dyDescent="0.25">
      <c r="I13135" s="199"/>
      <c r="J13135" s="199"/>
    </row>
    <row r="13136" spans="9:10" x14ac:dyDescent="0.25">
      <c r="I13136" s="199"/>
      <c r="J13136" s="199"/>
    </row>
    <row r="13137" spans="9:10" x14ac:dyDescent="0.25">
      <c r="I13137" s="199"/>
      <c r="J13137" s="199"/>
    </row>
    <row r="13138" spans="9:10" x14ac:dyDescent="0.25">
      <c r="I13138" s="199"/>
      <c r="J13138" s="199"/>
    </row>
    <row r="13139" spans="9:10" x14ac:dyDescent="0.25">
      <c r="I13139" s="199"/>
      <c r="J13139" s="199"/>
    </row>
    <row r="13140" spans="9:10" x14ac:dyDescent="0.25">
      <c r="I13140" s="199"/>
      <c r="J13140" s="199"/>
    </row>
    <row r="13141" spans="9:10" x14ac:dyDescent="0.25">
      <c r="I13141" s="199"/>
      <c r="J13141" s="199"/>
    </row>
    <row r="13142" spans="9:10" x14ac:dyDescent="0.25">
      <c r="I13142" s="199"/>
      <c r="J13142" s="199"/>
    </row>
    <row r="13143" spans="9:10" x14ac:dyDescent="0.25">
      <c r="I13143" s="199"/>
      <c r="J13143" s="199"/>
    </row>
    <row r="13144" spans="9:10" x14ac:dyDescent="0.25">
      <c r="I13144" s="199"/>
      <c r="J13144" s="199"/>
    </row>
    <row r="13145" spans="9:10" x14ac:dyDescent="0.25">
      <c r="I13145" s="199"/>
      <c r="J13145" s="199"/>
    </row>
    <row r="13146" spans="9:10" x14ac:dyDescent="0.25">
      <c r="I13146" s="199"/>
      <c r="J13146" s="199"/>
    </row>
    <row r="13147" spans="9:10" x14ac:dyDescent="0.25">
      <c r="I13147" s="199"/>
      <c r="J13147" s="199"/>
    </row>
    <row r="13148" spans="9:10" x14ac:dyDescent="0.25">
      <c r="I13148" s="199"/>
      <c r="J13148" s="199"/>
    </row>
    <row r="13149" spans="9:10" x14ac:dyDescent="0.25">
      <c r="I13149" s="199"/>
      <c r="J13149" s="199"/>
    </row>
    <row r="13150" spans="9:10" x14ac:dyDescent="0.25">
      <c r="I13150" s="199"/>
      <c r="J13150" s="199"/>
    </row>
    <row r="13151" spans="9:10" x14ac:dyDescent="0.25">
      <c r="I13151" s="199"/>
      <c r="J13151" s="199"/>
    </row>
    <row r="13152" spans="9:10" x14ac:dyDescent="0.25">
      <c r="I13152" s="199"/>
      <c r="J13152" s="199"/>
    </row>
    <row r="13153" spans="9:10" x14ac:dyDescent="0.25">
      <c r="I13153" s="199"/>
      <c r="J13153" s="199"/>
    </row>
    <row r="13154" spans="9:10" x14ac:dyDescent="0.25">
      <c r="I13154" s="199"/>
      <c r="J13154" s="199"/>
    </row>
    <row r="13155" spans="9:10" x14ac:dyDescent="0.25">
      <c r="I13155" s="199"/>
      <c r="J13155" s="199"/>
    </row>
    <row r="13156" spans="9:10" x14ac:dyDescent="0.25">
      <c r="I13156" s="199"/>
      <c r="J13156" s="199"/>
    </row>
    <row r="13157" spans="9:10" x14ac:dyDescent="0.25">
      <c r="I13157" s="199"/>
      <c r="J13157" s="199"/>
    </row>
    <row r="13158" spans="9:10" x14ac:dyDescent="0.25">
      <c r="I13158" s="199"/>
      <c r="J13158" s="199"/>
    </row>
    <row r="13159" spans="9:10" x14ac:dyDescent="0.25">
      <c r="I13159" s="199"/>
      <c r="J13159" s="199"/>
    </row>
    <row r="13160" spans="9:10" x14ac:dyDescent="0.25">
      <c r="I13160" s="199"/>
      <c r="J13160" s="199"/>
    </row>
    <row r="13161" spans="9:10" x14ac:dyDescent="0.25">
      <c r="I13161" s="199"/>
      <c r="J13161" s="199"/>
    </row>
    <row r="13162" spans="9:10" x14ac:dyDescent="0.25">
      <c r="I13162" s="199"/>
      <c r="J13162" s="199"/>
    </row>
    <row r="13163" spans="9:10" x14ac:dyDescent="0.25">
      <c r="I13163" s="199"/>
      <c r="J13163" s="199"/>
    </row>
    <row r="13164" spans="9:10" x14ac:dyDescent="0.25">
      <c r="I13164" s="199"/>
      <c r="J13164" s="199"/>
    </row>
    <row r="13165" spans="9:10" x14ac:dyDescent="0.25">
      <c r="I13165" s="199"/>
      <c r="J13165" s="199"/>
    </row>
    <row r="13166" spans="9:10" x14ac:dyDescent="0.25">
      <c r="I13166" s="199"/>
      <c r="J13166" s="199"/>
    </row>
    <row r="13167" spans="9:10" x14ac:dyDescent="0.25">
      <c r="I13167" s="199"/>
      <c r="J13167" s="199"/>
    </row>
    <row r="13168" spans="9:10" x14ac:dyDescent="0.25">
      <c r="I13168" s="199"/>
      <c r="J13168" s="199"/>
    </row>
    <row r="13169" spans="9:10" x14ac:dyDescent="0.25">
      <c r="I13169" s="199"/>
      <c r="J13169" s="199"/>
    </row>
    <row r="13170" spans="9:10" x14ac:dyDescent="0.25">
      <c r="I13170" s="199"/>
      <c r="J13170" s="199"/>
    </row>
    <row r="13171" spans="9:10" x14ac:dyDescent="0.25">
      <c r="I13171" s="199"/>
      <c r="J13171" s="199"/>
    </row>
    <row r="13172" spans="9:10" x14ac:dyDescent="0.25">
      <c r="I13172" s="199"/>
      <c r="J13172" s="199"/>
    </row>
    <row r="13173" spans="9:10" x14ac:dyDescent="0.25">
      <c r="I13173" s="199"/>
      <c r="J13173" s="199"/>
    </row>
    <row r="13174" spans="9:10" x14ac:dyDescent="0.25">
      <c r="I13174" s="199"/>
      <c r="J13174" s="199"/>
    </row>
    <row r="13175" spans="9:10" x14ac:dyDescent="0.25">
      <c r="I13175" s="199"/>
      <c r="J13175" s="199"/>
    </row>
    <row r="13176" spans="9:10" x14ac:dyDescent="0.25">
      <c r="I13176" s="199"/>
      <c r="J13176" s="199"/>
    </row>
    <row r="13177" spans="9:10" x14ac:dyDescent="0.25">
      <c r="I13177" s="199"/>
      <c r="J13177" s="199"/>
    </row>
    <row r="13178" spans="9:10" x14ac:dyDescent="0.25">
      <c r="I13178" s="199"/>
      <c r="J13178" s="199"/>
    </row>
    <row r="13179" spans="9:10" x14ac:dyDescent="0.25">
      <c r="I13179" s="199"/>
      <c r="J13179" s="199"/>
    </row>
    <row r="13180" spans="9:10" x14ac:dyDescent="0.25">
      <c r="I13180" s="199"/>
      <c r="J13180" s="199"/>
    </row>
    <row r="13181" spans="9:10" x14ac:dyDescent="0.25">
      <c r="I13181" s="199"/>
      <c r="J13181" s="199"/>
    </row>
    <row r="13182" spans="9:10" x14ac:dyDescent="0.25">
      <c r="I13182" s="199"/>
      <c r="J13182" s="199"/>
    </row>
    <row r="13183" spans="9:10" x14ac:dyDescent="0.25">
      <c r="I13183" s="199"/>
      <c r="J13183" s="199"/>
    </row>
    <row r="13184" spans="9:10" x14ac:dyDescent="0.25">
      <c r="I13184" s="199"/>
      <c r="J13184" s="199"/>
    </row>
    <row r="13185" spans="9:10" x14ac:dyDescent="0.25">
      <c r="I13185" s="199"/>
      <c r="J13185" s="199"/>
    </row>
    <row r="13186" spans="9:10" x14ac:dyDescent="0.25">
      <c r="I13186" s="199"/>
      <c r="J13186" s="199"/>
    </row>
    <row r="13187" spans="9:10" x14ac:dyDescent="0.25">
      <c r="I13187" s="199"/>
      <c r="J13187" s="199"/>
    </row>
    <row r="13188" spans="9:10" x14ac:dyDescent="0.25">
      <c r="I13188" s="199"/>
      <c r="J13188" s="199"/>
    </row>
    <row r="13189" spans="9:10" x14ac:dyDescent="0.25">
      <c r="I13189" s="199"/>
      <c r="J13189" s="199"/>
    </row>
    <row r="13190" spans="9:10" x14ac:dyDescent="0.25">
      <c r="I13190" s="199"/>
      <c r="J13190" s="199"/>
    </row>
    <row r="13191" spans="9:10" x14ac:dyDescent="0.25">
      <c r="I13191" s="199"/>
      <c r="J13191" s="199"/>
    </row>
    <row r="13192" spans="9:10" x14ac:dyDescent="0.25">
      <c r="I13192" s="199"/>
      <c r="J13192" s="199"/>
    </row>
    <row r="13193" spans="9:10" x14ac:dyDescent="0.25">
      <c r="I13193" s="199"/>
      <c r="J13193" s="199"/>
    </row>
    <row r="13194" spans="9:10" x14ac:dyDescent="0.25">
      <c r="I13194" s="199"/>
      <c r="J13194" s="199"/>
    </row>
    <row r="13195" spans="9:10" x14ac:dyDescent="0.25">
      <c r="I13195" s="199"/>
      <c r="J13195" s="199"/>
    </row>
    <row r="13196" spans="9:10" x14ac:dyDescent="0.25">
      <c r="I13196" s="199"/>
      <c r="J13196" s="199"/>
    </row>
    <row r="13197" spans="9:10" x14ac:dyDescent="0.25">
      <c r="I13197" s="199"/>
      <c r="J13197" s="199"/>
    </row>
    <row r="13198" spans="9:10" x14ac:dyDescent="0.25">
      <c r="I13198" s="199"/>
      <c r="J13198" s="199"/>
    </row>
    <row r="13199" spans="9:10" x14ac:dyDescent="0.25">
      <c r="I13199" s="199"/>
      <c r="J13199" s="199"/>
    </row>
    <row r="13200" spans="9:10" x14ac:dyDescent="0.25">
      <c r="I13200" s="199"/>
      <c r="J13200" s="199"/>
    </row>
    <row r="13201" spans="9:10" x14ac:dyDescent="0.25">
      <c r="I13201" s="199"/>
      <c r="J13201" s="199"/>
    </row>
    <row r="13202" spans="9:10" x14ac:dyDescent="0.25">
      <c r="I13202" s="199"/>
      <c r="J13202" s="199"/>
    </row>
    <row r="13203" spans="9:10" x14ac:dyDescent="0.25">
      <c r="I13203" s="199"/>
      <c r="J13203" s="199"/>
    </row>
    <row r="13204" spans="9:10" x14ac:dyDescent="0.25">
      <c r="I13204" s="199"/>
      <c r="J13204" s="199"/>
    </row>
    <row r="13205" spans="9:10" x14ac:dyDescent="0.25">
      <c r="I13205" s="199"/>
      <c r="J13205" s="199"/>
    </row>
    <row r="13206" spans="9:10" x14ac:dyDescent="0.25">
      <c r="I13206" s="199"/>
      <c r="J13206" s="199"/>
    </row>
    <row r="13207" spans="9:10" x14ac:dyDescent="0.25">
      <c r="I13207" s="199"/>
      <c r="J13207" s="199"/>
    </row>
    <row r="13208" spans="9:10" x14ac:dyDescent="0.25">
      <c r="I13208" s="199"/>
      <c r="J13208" s="199"/>
    </row>
    <row r="13209" spans="9:10" x14ac:dyDescent="0.25">
      <c r="I13209" s="199"/>
      <c r="J13209" s="199"/>
    </row>
    <row r="13210" spans="9:10" x14ac:dyDescent="0.25">
      <c r="I13210" s="199"/>
      <c r="J13210" s="199"/>
    </row>
    <row r="13211" spans="9:10" x14ac:dyDescent="0.25">
      <c r="I13211" s="199"/>
      <c r="J13211" s="199"/>
    </row>
    <row r="13212" spans="9:10" x14ac:dyDescent="0.25">
      <c r="I13212" s="199"/>
      <c r="J13212" s="199"/>
    </row>
    <row r="13213" spans="9:10" x14ac:dyDescent="0.25">
      <c r="I13213" s="199"/>
      <c r="J13213" s="199"/>
    </row>
    <row r="13214" spans="9:10" x14ac:dyDescent="0.25">
      <c r="I13214" s="199"/>
      <c r="J13214" s="199"/>
    </row>
    <row r="13215" spans="9:10" x14ac:dyDescent="0.25">
      <c r="I13215" s="199"/>
      <c r="J13215" s="199"/>
    </row>
    <row r="13216" spans="9:10" x14ac:dyDescent="0.25">
      <c r="I13216" s="199"/>
      <c r="J13216" s="199"/>
    </row>
    <row r="13217" spans="9:10" x14ac:dyDescent="0.25">
      <c r="I13217" s="199"/>
      <c r="J13217" s="199"/>
    </row>
    <row r="13218" spans="9:10" x14ac:dyDescent="0.25">
      <c r="I13218" s="199"/>
      <c r="J13218" s="199"/>
    </row>
    <row r="13219" spans="9:10" x14ac:dyDescent="0.25">
      <c r="I13219" s="199"/>
      <c r="J13219" s="199"/>
    </row>
    <row r="13220" spans="9:10" x14ac:dyDescent="0.25">
      <c r="I13220" s="199"/>
      <c r="J13220" s="199"/>
    </row>
    <row r="13221" spans="9:10" x14ac:dyDescent="0.25">
      <c r="I13221" s="199"/>
      <c r="J13221" s="199"/>
    </row>
    <row r="13222" spans="9:10" x14ac:dyDescent="0.25">
      <c r="I13222" s="199"/>
      <c r="J13222" s="199"/>
    </row>
    <row r="13223" spans="9:10" x14ac:dyDescent="0.25">
      <c r="I13223" s="199"/>
      <c r="J13223" s="199"/>
    </row>
    <row r="13224" spans="9:10" x14ac:dyDescent="0.25">
      <c r="I13224" s="199"/>
      <c r="J13224" s="199"/>
    </row>
    <row r="13225" spans="9:10" x14ac:dyDescent="0.25">
      <c r="I13225" s="199"/>
      <c r="J13225" s="199"/>
    </row>
    <row r="13226" spans="9:10" x14ac:dyDescent="0.25">
      <c r="I13226" s="199"/>
      <c r="J13226" s="199"/>
    </row>
    <row r="13227" spans="9:10" x14ac:dyDescent="0.25">
      <c r="I13227" s="199"/>
      <c r="J13227" s="199"/>
    </row>
    <row r="13228" spans="9:10" x14ac:dyDescent="0.25">
      <c r="I13228" s="199"/>
      <c r="J13228" s="199"/>
    </row>
    <row r="13229" spans="9:10" x14ac:dyDescent="0.25">
      <c r="I13229" s="199"/>
      <c r="J13229" s="199"/>
    </row>
    <row r="13230" spans="9:10" x14ac:dyDescent="0.25">
      <c r="I13230" s="199"/>
      <c r="J13230" s="199"/>
    </row>
    <row r="13231" spans="9:10" x14ac:dyDescent="0.25">
      <c r="I13231" s="199"/>
      <c r="J13231" s="199"/>
    </row>
    <row r="13232" spans="9:10" x14ac:dyDescent="0.25">
      <c r="I13232" s="199"/>
      <c r="J13232" s="199"/>
    </row>
    <row r="13233" spans="9:10" x14ac:dyDescent="0.25">
      <c r="I13233" s="199"/>
      <c r="J13233" s="199"/>
    </row>
    <row r="13234" spans="9:10" x14ac:dyDescent="0.25">
      <c r="I13234" s="199"/>
      <c r="J13234" s="199"/>
    </row>
    <row r="13235" spans="9:10" x14ac:dyDescent="0.25">
      <c r="I13235" s="199"/>
      <c r="J13235" s="199"/>
    </row>
    <row r="13236" spans="9:10" x14ac:dyDescent="0.25">
      <c r="I13236" s="199"/>
      <c r="J13236" s="199"/>
    </row>
    <row r="13237" spans="9:10" x14ac:dyDescent="0.25">
      <c r="I13237" s="199"/>
      <c r="J13237" s="199"/>
    </row>
    <row r="13238" spans="9:10" x14ac:dyDescent="0.25">
      <c r="I13238" s="199"/>
      <c r="J13238" s="199"/>
    </row>
    <row r="13239" spans="9:10" x14ac:dyDescent="0.25">
      <c r="I13239" s="199"/>
      <c r="J13239" s="199"/>
    </row>
    <row r="13240" spans="9:10" x14ac:dyDescent="0.25">
      <c r="I13240" s="199"/>
      <c r="J13240" s="199"/>
    </row>
    <row r="13241" spans="9:10" x14ac:dyDescent="0.25">
      <c r="I13241" s="199"/>
      <c r="J13241" s="199"/>
    </row>
    <row r="13242" spans="9:10" x14ac:dyDescent="0.25">
      <c r="I13242" s="199"/>
      <c r="J13242" s="199"/>
    </row>
    <row r="13243" spans="9:10" x14ac:dyDescent="0.25">
      <c r="I13243" s="199"/>
      <c r="J13243" s="199"/>
    </row>
    <row r="13244" spans="9:10" x14ac:dyDescent="0.25">
      <c r="I13244" s="199"/>
      <c r="J13244" s="199"/>
    </row>
    <row r="13245" spans="9:10" x14ac:dyDescent="0.25">
      <c r="I13245" s="199"/>
      <c r="J13245" s="199"/>
    </row>
    <row r="13246" spans="9:10" x14ac:dyDescent="0.25">
      <c r="I13246" s="199"/>
      <c r="J13246" s="199"/>
    </row>
    <row r="13247" spans="9:10" x14ac:dyDescent="0.25">
      <c r="I13247" s="199"/>
      <c r="J13247" s="199"/>
    </row>
    <row r="13248" spans="9:10" x14ac:dyDescent="0.25">
      <c r="I13248" s="199"/>
      <c r="J13248" s="199"/>
    </row>
    <row r="13249" spans="9:10" x14ac:dyDescent="0.25">
      <c r="I13249" s="199"/>
      <c r="J13249" s="199"/>
    </row>
    <row r="13250" spans="9:10" x14ac:dyDescent="0.25">
      <c r="I13250" s="199"/>
      <c r="J13250" s="199"/>
    </row>
    <row r="13251" spans="9:10" x14ac:dyDescent="0.25">
      <c r="I13251" s="199"/>
      <c r="J13251" s="199"/>
    </row>
    <row r="13252" spans="9:10" x14ac:dyDescent="0.25">
      <c r="I13252" s="199"/>
      <c r="J13252" s="199"/>
    </row>
    <row r="13253" spans="9:10" x14ac:dyDescent="0.25">
      <c r="I13253" s="199"/>
      <c r="J13253" s="199"/>
    </row>
    <row r="13254" spans="9:10" x14ac:dyDescent="0.25">
      <c r="I13254" s="199"/>
      <c r="J13254" s="199"/>
    </row>
    <row r="13255" spans="9:10" x14ac:dyDescent="0.25">
      <c r="I13255" s="199"/>
      <c r="J13255" s="199"/>
    </row>
    <row r="13256" spans="9:10" x14ac:dyDescent="0.25">
      <c r="I13256" s="199"/>
      <c r="J13256" s="199"/>
    </row>
    <row r="13257" spans="9:10" x14ac:dyDescent="0.25">
      <c r="I13257" s="199"/>
      <c r="J13257" s="199"/>
    </row>
    <row r="13258" spans="9:10" x14ac:dyDescent="0.25">
      <c r="I13258" s="199"/>
      <c r="J13258" s="199"/>
    </row>
    <row r="13259" spans="9:10" x14ac:dyDescent="0.25">
      <c r="I13259" s="199"/>
      <c r="J13259" s="199"/>
    </row>
    <row r="13260" spans="9:10" x14ac:dyDescent="0.25">
      <c r="I13260" s="199"/>
      <c r="J13260" s="199"/>
    </row>
    <row r="13261" spans="9:10" x14ac:dyDescent="0.25">
      <c r="I13261" s="199"/>
      <c r="J13261" s="199"/>
    </row>
    <row r="13262" spans="9:10" x14ac:dyDescent="0.25">
      <c r="I13262" s="199"/>
      <c r="J13262" s="199"/>
    </row>
    <row r="13263" spans="9:10" x14ac:dyDescent="0.25">
      <c r="I13263" s="199"/>
      <c r="J13263" s="199"/>
    </row>
    <row r="13264" spans="9:10" x14ac:dyDescent="0.25">
      <c r="I13264" s="199"/>
      <c r="J13264" s="199"/>
    </row>
    <row r="13265" spans="9:10" x14ac:dyDescent="0.25">
      <c r="I13265" s="199"/>
      <c r="J13265" s="199"/>
    </row>
    <row r="13266" spans="9:10" x14ac:dyDescent="0.25">
      <c r="I13266" s="199"/>
      <c r="J13266" s="199"/>
    </row>
    <row r="13267" spans="9:10" x14ac:dyDescent="0.25">
      <c r="I13267" s="199"/>
      <c r="J13267" s="199"/>
    </row>
    <row r="13268" spans="9:10" x14ac:dyDescent="0.25">
      <c r="I13268" s="199"/>
      <c r="J13268" s="199"/>
    </row>
    <row r="13269" spans="9:10" x14ac:dyDescent="0.25">
      <c r="I13269" s="199"/>
      <c r="J13269" s="199"/>
    </row>
    <row r="13270" spans="9:10" x14ac:dyDescent="0.25">
      <c r="I13270" s="199"/>
      <c r="J13270" s="199"/>
    </row>
    <row r="13271" spans="9:10" x14ac:dyDescent="0.25">
      <c r="I13271" s="199"/>
      <c r="J13271" s="199"/>
    </row>
    <row r="13272" spans="9:10" x14ac:dyDescent="0.25">
      <c r="I13272" s="199"/>
      <c r="J13272" s="199"/>
    </row>
    <row r="13273" spans="9:10" x14ac:dyDescent="0.25">
      <c r="I13273" s="199"/>
      <c r="J13273" s="199"/>
    </row>
    <row r="13274" spans="9:10" x14ac:dyDescent="0.25">
      <c r="I13274" s="199"/>
      <c r="J13274" s="199"/>
    </row>
    <row r="13275" spans="9:10" x14ac:dyDescent="0.25">
      <c r="I13275" s="199"/>
      <c r="J13275" s="199"/>
    </row>
    <row r="13276" spans="9:10" x14ac:dyDescent="0.25">
      <c r="I13276" s="199"/>
      <c r="J13276" s="199"/>
    </row>
    <row r="13277" spans="9:10" x14ac:dyDescent="0.25">
      <c r="I13277" s="199"/>
      <c r="J13277" s="199"/>
    </row>
    <row r="13278" spans="9:10" x14ac:dyDescent="0.25">
      <c r="I13278" s="199"/>
      <c r="J13278" s="199"/>
    </row>
    <row r="13279" spans="9:10" x14ac:dyDescent="0.25">
      <c r="I13279" s="199"/>
      <c r="J13279" s="199"/>
    </row>
    <row r="13280" spans="9:10" x14ac:dyDescent="0.25">
      <c r="I13280" s="199"/>
      <c r="J13280" s="199"/>
    </row>
    <row r="13281" spans="9:10" x14ac:dyDescent="0.25">
      <c r="I13281" s="199"/>
      <c r="J13281" s="199"/>
    </row>
    <row r="13282" spans="9:10" x14ac:dyDescent="0.25">
      <c r="I13282" s="199"/>
      <c r="J13282" s="199"/>
    </row>
    <row r="13283" spans="9:10" x14ac:dyDescent="0.25">
      <c r="I13283" s="199"/>
      <c r="J13283" s="199"/>
    </row>
    <row r="13284" spans="9:10" x14ac:dyDescent="0.25">
      <c r="I13284" s="199"/>
      <c r="J13284" s="199"/>
    </row>
    <row r="13285" spans="9:10" x14ac:dyDescent="0.25">
      <c r="I13285" s="199"/>
      <c r="J13285" s="199"/>
    </row>
    <row r="13286" spans="9:10" x14ac:dyDescent="0.25">
      <c r="I13286" s="199"/>
      <c r="J13286" s="199"/>
    </row>
    <row r="13287" spans="9:10" x14ac:dyDescent="0.25">
      <c r="I13287" s="199"/>
      <c r="J13287" s="199"/>
    </row>
    <row r="13288" spans="9:10" x14ac:dyDescent="0.25">
      <c r="I13288" s="199"/>
      <c r="J13288" s="199"/>
    </row>
    <row r="13289" spans="9:10" x14ac:dyDescent="0.25">
      <c r="I13289" s="199"/>
      <c r="J13289" s="199"/>
    </row>
    <row r="13290" spans="9:10" x14ac:dyDescent="0.25">
      <c r="I13290" s="199"/>
      <c r="J13290" s="199"/>
    </row>
    <row r="13291" spans="9:10" x14ac:dyDescent="0.25">
      <c r="I13291" s="199"/>
      <c r="J13291" s="199"/>
    </row>
    <row r="13292" spans="9:10" x14ac:dyDescent="0.25">
      <c r="I13292" s="199"/>
      <c r="J13292" s="199"/>
    </row>
    <row r="13293" spans="9:10" x14ac:dyDescent="0.25">
      <c r="I13293" s="199"/>
      <c r="J13293" s="199"/>
    </row>
    <row r="13294" spans="9:10" x14ac:dyDescent="0.25">
      <c r="I13294" s="199"/>
      <c r="J13294" s="199"/>
    </row>
    <row r="13295" spans="9:10" x14ac:dyDescent="0.25">
      <c r="I13295" s="199"/>
      <c r="J13295" s="199"/>
    </row>
    <row r="13296" spans="9:10" x14ac:dyDescent="0.25">
      <c r="I13296" s="199"/>
      <c r="J13296" s="199"/>
    </row>
    <row r="13297" spans="9:10" x14ac:dyDescent="0.25">
      <c r="I13297" s="199"/>
      <c r="J13297" s="199"/>
    </row>
    <row r="13298" spans="9:10" x14ac:dyDescent="0.25">
      <c r="I13298" s="199"/>
      <c r="J13298" s="199"/>
    </row>
    <row r="13299" spans="9:10" x14ac:dyDescent="0.25">
      <c r="I13299" s="199"/>
      <c r="J13299" s="199"/>
    </row>
    <row r="13300" spans="9:10" x14ac:dyDescent="0.25">
      <c r="I13300" s="199"/>
      <c r="J13300" s="199"/>
    </row>
    <row r="13301" spans="9:10" x14ac:dyDescent="0.25">
      <c r="I13301" s="199"/>
      <c r="J13301" s="199"/>
    </row>
    <row r="13302" spans="9:10" x14ac:dyDescent="0.25">
      <c r="I13302" s="199"/>
      <c r="J13302" s="199"/>
    </row>
    <row r="13303" spans="9:10" x14ac:dyDescent="0.25">
      <c r="I13303" s="199"/>
      <c r="J13303" s="199"/>
    </row>
    <row r="13304" spans="9:10" x14ac:dyDescent="0.25">
      <c r="I13304" s="199"/>
      <c r="J13304" s="199"/>
    </row>
    <row r="13305" spans="9:10" x14ac:dyDescent="0.25">
      <c r="I13305" s="199"/>
      <c r="J13305" s="199"/>
    </row>
    <row r="13306" spans="9:10" x14ac:dyDescent="0.25">
      <c r="I13306" s="199"/>
      <c r="J13306" s="199"/>
    </row>
    <row r="13307" spans="9:10" x14ac:dyDescent="0.25">
      <c r="I13307" s="199"/>
      <c r="J13307" s="199"/>
    </row>
    <row r="13308" spans="9:10" x14ac:dyDescent="0.25">
      <c r="I13308" s="199"/>
      <c r="J13308" s="199"/>
    </row>
    <row r="13309" spans="9:10" x14ac:dyDescent="0.25">
      <c r="I13309" s="199"/>
      <c r="J13309" s="199"/>
    </row>
    <row r="13310" spans="9:10" x14ac:dyDescent="0.25">
      <c r="I13310" s="199"/>
      <c r="J13310" s="199"/>
    </row>
    <row r="13311" spans="9:10" x14ac:dyDescent="0.25">
      <c r="I13311" s="199"/>
      <c r="J13311" s="199"/>
    </row>
    <row r="13312" spans="9:10" x14ac:dyDescent="0.25">
      <c r="I13312" s="199"/>
      <c r="J13312" s="199"/>
    </row>
    <row r="13313" spans="9:10" x14ac:dyDescent="0.25">
      <c r="I13313" s="199"/>
      <c r="J13313" s="199"/>
    </row>
    <row r="13314" spans="9:10" x14ac:dyDescent="0.25">
      <c r="I13314" s="199"/>
      <c r="J13314" s="199"/>
    </row>
    <row r="13315" spans="9:10" x14ac:dyDescent="0.25">
      <c r="I13315" s="199"/>
      <c r="J13315" s="199"/>
    </row>
    <row r="13316" spans="9:10" x14ac:dyDescent="0.25">
      <c r="I13316" s="199"/>
      <c r="J13316" s="199"/>
    </row>
    <row r="13317" spans="9:10" x14ac:dyDescent="0.25">
      <c r="I13317" s="199"/>
      <c r="J13317" s="199"/>
    </row>
    <row r="13318" spans="9:10" x14ac:dyDescent="0.25">
      <c r="I13318" s="199"/>
      <c r="J13318" s="199"/>
    </row>
    <row r="13319" spans="9:10" x14ac:dyDescent="0.25">
      <c r="I13319" s="199"/>
      <c r="J13319" s="199"/>
    </row>
    <row r="13320" spans="9:10" x14ac:dyDescent="0.25">
      <c r="I13320" s="199"/>
      <c r="J13320" s="199"/>
    </row>
    <row r="13321" spans="9:10" x14ac:dyDescent="0.25">
      <c r="I13321" s="199"/>
      <c r="J13321" s="199"/>
    </row>
    <row r="13322" spans="9:10" x14ac:dyDescent="0.25">
      <c r="I13322" s="199"/>
      <c r="J13322" s="199"/>
    </row>
    <row r="13323" spans="9:10" x14ac:dyDescent="0.25">
      <c r="I13323" s="199"/>
      <c r="J13323" s="199"/>
    </row>
    <row r="13324" spans="9:10" x14ac:dyDescent="0.25">
      <c r="I13324" s="199"/>
      <c r="J13324" s="199"/>
    </row>
    <row r="13325" spans="9:10" x14ac:dyDescent="0.25">
      <c r="I13325" s="199"/>
      <c r="J13325" s="199"/>
    </row>
    <row r="13326" spans="9:10" x14ac:dyDescent="0.25">
      <c r="I13326" s="199"/>
      <c r="J13326" s="199"/>
    </row>
    <row r="13327" spans="9:10" x14ac:dyDescent="0.25">
      <c r="I13327" s="199"/>
      <c r="J13327" s="199"/>
    </row>
    <row r="13328" spans="9:10" x14ac:dyDescent="0.25">
      <c r="I13328" s="199"/>
      <c r="J13328" s="199"/>
    </row>
    <row r="13329" spans="9:10" x14ac:dyDescent="0.25">
      <c r="I13329" s="199"/>
      <c r="J13329" s="199"/>
    </row>
    <row r="13330" spans="9:10" x14ac:dyDescent="0.25">
      <c r="I13330" s="199"/>
      <c r="J13330" s="199"/>
    </row>
    <row r="13331" spans="9:10" x14ac:dyDescent="0.25">
      <c r="I13331" s="199"/>
      <c r="J13331" s="199"/>
    </row>
    <row r="13332" spans="9:10" x14ac:dyDescent="0.25">
      <c r="I13332" s="199"/>
      <c r="J13332" s="199"/>
    </row>
    <row r="13333" spans="9:10" x14ac:dyDescent="0.25">
      <c r="I13333" s="199"/>
      <c r="J13333" s="199"/>
    </row>
    <row r="13334" spans="9:10" x14ac:dyDescent="0.25">
      <c r="I13334" s="199"/>
      <c r="J13334" s="199"/>
    </row>
    <row r="13335" spans="9:10" x14ac:dyDescent="0.25">
      <c r="I13335" s="199"/>
      <c r="J13335" s="199"/>
    </row>
    <row r="13336" spans="9:10" x14ac:dyDescent="0.25">
      <c r="I13336" s="199"/>
      <c r="J13336" s="199"/>
    </row>
    <row r="13337" spans="9:10" x14ac:dyDescent="0.25">
      <c r="I13337" s="199"/>
      <c r="J13337" s="199"/>
    </row>
    <row r="13338" spans="9:10" x14ac:dyDescent="0.25">
      <c r="I13338" s="199"/>
      <c r="J13338" s="199"/>
    </row>
    <row r="13339" spans="9:10" x14ac:dyDescent="0.25">
      <c r="I13339" s="199"/>
      <c r="J13339" s="199"/>
    </row>
    <row r="13340" spans="9:10" x14ac:dyDescent="0.25">
      <c r="I13340" s="199"/>
      <c r="J13340" s="199"/>
    </row>
    <row r="13341" spans="9:10" x14ac:dyDescent="0.25">
      <c r="I13341" s="199"/>
      <c r="J13341" s="199"/>
    </row>
    <row r="13342" spans="9:10" x14ac:dyDescent="0.25">
      <c r="I13342" s="199"/>
      <c r="J13342" s="199"/>
    </row>
    <row r="13343" spans="9:10" x14ac:dyDescent="0.25">
      <c r="I13343" s="199"/>
      <c r="J13343" s="199"/>
    </row>
    <row r="13344" spans="9:10" x14ac:dyDescent="0.25">
      <c r="I13344" s="199"/>
      <c r="J13344" s="199"/>
    </row>
    <row r="13345" spans="9:10" x14ac:dyDescent="0.25">
      <c r="I13345" s="199"/>
      <c r="J13345" s="199"/>
    </row>
    <row r="13346" spans="9:10" x14ac:dyDescent="0.25">
      <c r="I13346" s="199"/>
      <c r="J13346" s="199"/>
    </row>
    <row r="13347" spans="9:10" x14ac:dyDescent="0.25">
      <c r="I13347" s="199"/>
      <c r="J13347" s="199"/>
    </row>
    <row r="13348" spans="9:10" x14ac:dyDescent="0.25">
      <c r="I13348" s="199"/>
      <c r="J13348" s="199"/>
    </row>
    <row r="13349" spans="9:10" x14ac:dyDescent="0.25">
      <c r="I13349" s="199"/>
      <c r="J13349" s="199"/>
    </row>
    <row r="13350" spans="9:10" x14ac:dyDescent="0.25">
      <c r="I13350" s="199"/>
      <c r="J13350" s="199"/>
    </row>
    <row r="13351" spans="9:10" x14ac:dyDescent="0.25">
      <c r="I13351" s="199"/>
      <c r="J13351" s="199"/>
    </row>
    <row r="13352" spans="9:10" x14ac:dyDescent="0.25">
      <c r="I13352" s="199"/>
      <c r="J13352" s="199"/>
    </row>
    <row r="13353" spans="9:10" x14ac:dyDescent="0.25">
      <c r="I13353" s="199"/>
      <c r="J13353" s="199"/>
    </row>
    <row r="13354" spans="9:10" x14ac:dyDescent="0.25">
      <c r="I13354" s="199"/>
      <c r="J13354" s="199"/>
    </row>
    <row r="13355" spans="9:10" x14ac:dyDescent="0.25">
      <c r="I13355" s="199"/>
      <c r="J13355" s="199"/>
    </row>
    <row r="13356" spans="9:10" x14ac:dyDescent="0.25">
      <c r="I13356" s="199"/>
      <c r="J13356" s="199"/>
    </row>
    <row r="13357" spans="9:10" x14ac:dyDescent="0.25">
      <c r="I13357" s="199"/>
      <c r="J13357" s="199"/>
    </row>
    <row r="13358" spans="9:10" x14ac:dyDescent="0.25">
      <c r="I13358" s="199"/>
      <c r="J13358" s="199"/>
    </row>
    <row r="13359" spans="9:10" x14ac:dyDescent="0.25">
      <c r="I13359" s="199"/>
      <c r="J13359" s="199"/>
    </row>
    <row r="13360" spans="9:10" x14ac:dyDescent="0.25">
      <c r="I13360" s="199"/>
      <c r="J13360" s="199"/>
    </row>
    <row r="13361" spans="9:10" x14ac:dyDescent="0.25">
      <c r="I13361" s="199"/>
      <c r="J13361" s="199"/>
    </row>
    <row r="13362" spans="9:10" x14ac:dyDescent="0.25">
      <c r="I13362" s="199"/>
      <c r="J13362" s="199"/>
    </row>
    <row r="13363" spans="9:10" x14ac:dyDescent="0.25">
      <c r="I13363" s="199"/>
      <c r="J13363" s="199"/>
    </row>
    <row r="13364" spans="9:10" x14ac:dyDescent="0.25">
      <c r="I13364" s="199"/>
      <c r="J13364" s="199"/>
    </row>
    <row r="13365" spans="9:10" x14ac:dyDescent="0.25">
      <c r="I13365" s="199"/>
      <c r="J13365" s="199"/>
    </row>
    <row r="13366" spans="9:10" x14ac:dyDescent="0.25">
      <c r="I13366" s="199"/>
      <c r="J13366" s="199"/>
    </row>
    <row r="13367" spans="9:10" x14ac:dyDescent="0.25">
      <c r="I13367" s="199"/>
      <c r="J13367" s="199"/>
    </row>
    <row r="13368" spans="9:10" x14ac:dyDescent="0.25">
      <c r="I13368" s="199"/>
      <c r="J13368" s="199"/>
    </row>
    <row r="13369" spans="9:10" x14ac:dyDescent="0.25">
      <c r="I13369" s="199"/>
      <c r="J13369" s="199"/>
    </row>
    <row r="13370" spans="9:10" x14ac:dyDescent="0.25">
      <c r="I13370" s="199"/>
      <c r="J13370" s="199"/>
    </row>
    <row r="13371" spans="9:10" x14ac:dyDescent="0.25">
      <c r="I13371" s="199"/>
      <c r="J13371" s="199"/>
    </row>
    <row r="13372" spans="9:10" x14ac:dyDescent="0.25">
      <c r="I13372" s="199"/>
      <c r="J13372" s="199"/>
    </row>
    <row r="13373" spans="9:10" x14ac:dyDescent="0.25">
      <c r="I13373" s="199"/>
      <c r="J13373" s="199"/>
    </row>
    <row r="13374" spans="9:10" x14ac:dyDescent="0.25">
      <c r="I13374" s="199"/>
      <c r="J13374" s="199"/>
    </row>
    <row r="13375" spans="9:10" x14ac:dyDescent="0.25">
      <c r="I13375" s="199"/>
      <c r="J13375" s="199"/>
    </row>
    <row r="13376" spans="9:10" x14ac:dyDescent="0.25">
      <c r="I13376" s="199"/>
      <c r="J13376" s="199"/>
    </row>
    <row r="13377" spans="9:10" x14ac:dyDescent="0.25">
      <c r="I13377" s="199"/>
      <c r="J13377" s="199"/>
    </row>
    <row r="13378" spans="9:10" x14ac:dyDescent="0.25">
      <c r="I13378" s="199"/>
      <c r="J13378" s="199"/>
    </row>
    <row r="13379" spans="9:10" x14ac:dyDescent="0.25">
      <c r="I13379" s="199"/>
      <c r="J13379" s="199"/>
    </row>
    <row r="13380" spans="9:10" x14ac:dyDescent="0.25">
      <c r="I13380" s="199"/>
      <c r="J13380" s="199"/>
    </row>
    <row r="13381" spans="9:10" x14ac:dyDescent="0.25">
      <c r="I13381" s="199"/>
      <c r="J13381" s="199"/>
    </row>
    <row r="13382" spans="9:10" x14ac:dyDescent="0.25">
      <c r="I13382" s="199"/>
      <c r="J13382" s="199"/>
    </row>
    <row r="13383" spans="9:10" x14ac:dyDescent="0.25">
      <c r="I13383" s="199"/>
      <c r="J13383" s="199"/>
    </row>
    <row r="13384" spans="9:10" x14ac:dyDescent="0.25">
      <c r="I13384" s="199"/>
      <c r="J13384" s="199"/>
    </row>
    <row r="13385" spans="9:10" x14ac:dyDescent="0.25">
      <c r="I13385" s="199"/>
      <c r="J13385" s="199"/>
    </row>
    <row r="13386" spans="9:10" x14ac:dyDescent="0.25">
      <c r="I13386" s="199"/>
      <c r="J13386" s="199"/>
    </row>
    <row r="13387" spans="9:10" x14ac:dyDescent="0.25">
      <c r="I13387" s="199"/>
      <c r="J13387" s="199"/>
    </row>
    <row r="13388" spans="9:10" x14ac:dyDescent="0.25">
      <c r="I13388" s="199"/>
      <c r="J13388" s="199"/>
    </row>
    <row r="13389" spans="9:10" x14ac:dyDescent="0.25">
      <c r="I13389" s="199"/>
      <c r="J13389" s="199"/>
    </row>
    <row r="13390" spans="9:10" x14ac:dyDescent="0.25">
      <c r="I13390" s="199"/>
      <c r="J13390" s="199"/>
    </row>
    <row r="13391" spans="9:10" x14ac:dyDescent="0.25">
      <c r="I13391" s="199"/>
      <c r="J13391" s="199"/>
    </row>
    <row r="13392" spans="9:10" x14ac:dyDescent="0.25">
      <c r="I13392" s="199"/>
      <c r="J13392" s="199"/>
    </row>
    <row r="13393" spans="9:10" x14ac:dyDescent="0.25">
      <c r="I13393" s="199"/>
      <c r="J13393" s="199"/>
    </row>
    <row r="13394" spans="9:10" x14ac:dyDescent="0.25">
      <c r="I13394" s="199"/>
      <c r="J13394" s="199"/>
    </row>
    <row r="13395" spans="9:10" x14ac:dyDescent="0.25">
      <c r="I13395" s="199"/>
      <c r="J13395" s="199"/>
    </row>
    <row r="13396" spans="9:10" x14ac:dyDescent="0.25">
      <c r="I13396" s="199"/>
      <c r="J13396" s="199"/>
    </row>
    <row r="13397" spans="9:10" x14ac:dyDescent="0.25">
      <c r="I13397" s="199"/>
      <c r="J13397" s="199"/>
    </row>
    <row r="13398" spans="9:10" x14ac:dyDescent="0.25">
      <c r="I13398" s="199"/>
      <c r="J13398" s="199"/>
    </row>
    <row r="13399" spans="9:10" x14ac:dyDescent="0.25">
      <c r="I13399" s="199"/>
      <c r="J13399" s="199"/>
    </row>
    <row r="13400" spans="9:10" x14ac:dyDescent="0.25">
      <c r="I13400" s="199"/>
      <c r="J13400" s="199"/>
    </row>
    <row r="13401" spans="9:10" x14ac:dyDescent="0.25">
      <c r="I13401" s="199"/>
      <c r="J13401" s="199"/>
    </row>
    <row r="13402" spans="9:10" x14ac:dyDescent="0.25">
      <c r="I13402" s="199"/>
      <c r="J13402" s="199"/>
    </row>
    <row r="13403" spans="9:10" x14ac:dyDescent="0.25">
      <c r="I13403" s="199"/>
      <c r="J13403" s="199"/>
    </row>
    <row r="13404" spans="9:10" x14ac:dyDescent="0.25">
      <c r="I13404" s="199"/>
      <c r="J13404" s="199"/>
    </row>
    <row r="13405" spans="9:10" x14ac:dyDescent="0.25">
      <c r="I13405" s="199"/>
      <c r="J13405" s="199"/>
    </row>
    <row r="13406" spans="9:10" x14ac:dyDescent="0.25">
      <c r="I13406" s="199"/>
      <c r="J13406" s="199"/>
    </row>
    <row r="13407" spans="9:10" x14ac:dyDescent="0.25">
      <c r="I13407" s="199"/>
      <c r="J13407" s="199"/>
    </row>
    <row r="13408" spans="9:10" x14ac:dyDescent="0.25">
      <c r="I13408" s="199"/>
      <c r="J13408" s="199"/>
    </row>
    <row r="13409" spans="9:10" x14ac:dyDescent="0.25">
      <c r="I13409" s="199"/>
      <c r="J13409" s="199"/>
    </row>
    <row r="13410" spans="9:10" x14ac:dyDescent="0.25">
      <c r="I13410" s="199"/>
      <c r="J13410" s="199"/>
    </row>
    <row r="13411" spans="9:10" x14ac:dyDescent="0.25">
      <c r="I13411" s="199"/>
      <c r="J13411" s="199"/>
    </row>
    <row r="13412" spans="9:10" x14ac:dyDescent="0.25">
      <c r="I13412" s="199"/>
      <c r="J13412" s="199"/>
    </row>
    <row r="13413" spans="9:10" x14ac:dyDescent="0.25">
      <c r="I13413" s="199"/>
      <c r="J13413" s="199"/>
    </row>
    <row r="13414" spans="9:10" x14ac:dyDescent="0.25">
      <c r="I13414" s="199"/>
      <c r="J13414" s="199"/>
    </row>
    <row r="13415" spans="9:10" x14ac:dyDescent="0.25">
      <c r="I13415" s="199"/>
      <c r="J13415" s="199"/>
    </row>
    <row r="13416" spans="9:10" x14ac:dyDescent="0.25">
      <c r="I13416" s="199"/>
      <c r="J13416" s="199"/>
    </row>
    <row r="13417" spans="9:10" x14ac:dyDescent="0.25">
      <c r="I13417" s="199"/>
      <c r="J13417" s="199"/>
    </row>
    <row r="13418" spans="9:10" x14ac:dyDescent="0.25">
      <c r="I13418" s="199"/>
      <c r="J13418" s="199"/>
    </row>
    <row r="13419" spans="9:10" x14ac:dyDescent="0.25">
      <c r="I13419" s="199"/>
      <c r="J13419" s="199"/>
    </row>
    <row r="13420" spans="9:10" x14ac:dyDescent="0.25">
      <c r="I13420" s="199"/>
      <c r="J13420" s="199"/>
    </row>
    <row r="13421" spans="9:10" x14ac:dyDescent="0.25">
      <c r="I13421" s="199"/>
      <c r="J13421" s="199"/>
    </row>
    <row r="13422" spans="9:10" x14ac:dyDescent="0.25">
      <c r="I13422" s="199"/>
      <c r="J13422" s="199"/>
    </row>
    <row r="13423" spans="9:10" x14ac:dyDescent="0.25">
      <c r="I13423" s="199"/>
      <c r="J13423" s="199"/>
    </row>
    <row r="13424" spans="9:10" x14ac:dyDescent="0.25">
      <c r="I13424" s="199"/>
      <c r="J13424" s="199"/>
    </row>
    <row r="13425" spans="9:10" x14ac:dyDescent="0.25">
      <c r="I13425" s="199"/>
      <c r="J13425" s="199"/>
    </row>
    <row r="13426" spans="9:10" x14ac:dyDescent="0.25">
      <c r="I13426" s="199"/>
      <c r="J13426" s="199"/>
    </row>
    <row r="13427" spans="9:10" x14ac:dyDescent="0.25">
      <c r="I13427" s="199"/>
      <c r="J13427" s="199"/>
    </row>
    <row r="13428" spans="9:10" x14ac:dyDescent="0.25">
      <c r="I13428" s="199"/>
      <c r="J13428" s="199"/>
    </row>
    <row r="13429" spans="9:10" x14ac:dyDescent="0.25">
      <c r="I13429" s="199"/>
      <c r="J13429" s="199"/>
    </row>
    <row r="13430" spans="9:10" x14ac:dyDescent="0.25">
      <c r="I13430" s="199"/>
      <c r="J13430" s="199"/>
    </row>
    <row r="13431" spans="9:10" x14ac:dyDescent="0.25">
      <c r="I13431" s="199"/>
      <c r="J13431" s="199"/>
    </row>
    <row r="13432" spans="9:10" x14ac:dyDescent="0.25">
      <c r="I13432" s="199"/>
      <c r="J13432" s="199"/>
    </row>
    <row r="13433" spans="9:10" x14ac:dyDescent="0.25">
      <c r="I13433" s="199"/>
      <c r="J13433" s="199"/>
    </row>
    <row r="13434" spans="9:10" x14ac:dyDescent="0.25">
      <c r="I13434" s="199"/>
      <c r="J13434" s="199"/>
    </row>
    <row r="13435" spans="9:10" x14ac:dyDescent="0.25">
      <c r="I13435" s="199"/>
      <c r="J13435" s="199"/>
    </row>
    <row r="13436" spans="9:10" x14ac:dyDescent="0.25">
      <c r="I13436" s="199"/>
      <c r="J13436" s="199"/>
    </row>
    <row r="13437" spans="9:10" x14ac:dyDescent="0.25">
      <c r="I13437" s="199"/>
      <c r="J13437" s="199"/>
    </row>
    <row r="13438" spans="9:10" x14ac:dyDescent="0.25">
      <c r="I13438" s="199"/>
      <c r="J13438" s="199"/>
    </row>
    <row r="13439" spans="9:10" x14ac:dyDescent="0.25">
      <c r="I13439" s="199"/>
      <c r="J13439" s="199"/>
    </row>
    <row r="13440" spans="9:10" x14ac:dyDescent="0.25">
      <c r="I13440" s="199"/>
      <c r="J13440" s="199"/>
    </row>
    <row r="13441" spans="9:10" x14ac:dyDescent="0.25">
      <c r="I13441" s="199"/>
      <c r="J13441" s="199"/>
    </row>
    <row r="13442" spans="9:10" x14ac:dyDescent="0.25">
      <c r="I13442" s="199"/>
      <c r="J13442" s="199"/>
    </row>
    <row r="13443" spans="9:10" x14ac:dyDescent="0.25">
      <c r="I13443" s="199"/>
      <c r="J13443" s="199"/>
    </row>
    <row r="13444" spans="9:10" x14ac:dyDescent="0.25">
      <c r="I13444" s="199"/>
      <c r="J13444" s="199"/>
    </row>
    <row r="13445" spans="9:10" x14ac:dyDescent="0.25">
      <c r="I13445" s="199"/>
      <c r="J13445" s="199"/>
    </row>
    <row r="13446" spans="9:10" x14ac:dyDescent="0.25">
      <c r="I13446" s="199"/>
      <c r="J13446" s="199"/>
    </row>
    <row r="13447" spans="9:10" x14ac:dyDescent="0.25">
      <c r="I13447" s="199"/>
      <c r="J13447" s="199"/>
    </row>
    <row r="13448" spans="9:10" x14ac:dyDescent="0.25">
      <c r="I13448" s="199"/>
      <c r="J13448" s="199"/>
    </row>
    <row r="13449" spans="9:10" x14ac:dyDescent="0.25">
      <c r="I13449" s="199"/>
      <c r="J13449" s="199"/>
    </row>
    <row r="13450" spans="9:10" x14ac:dyDescent="0.25">
      <c r="I13450" s="199"/>
      <c r="J13450" s="199"/>
    </row>
    <row r="13451" spans="9:10" x14ac:dyDescent="0.25">
      <c r="I13451" s="199"/>
      <c r="J13451" s="199"/>
    </row>
    <row r="13452" spans="9:10" x14ac:dyDescent="0.25">
      <c r="I13452" s="199"/>
      <c r="J13452" s="199"/>
    </row>
    <row r="13453" spans="9:10" x14ac:dyDescent="0.25">
      <c r="I13453" s="199"/>
      <c r="J13453" s="199"/>
    </row>
    <row r="13454" spans="9:10" x14ac:dyDescent="0.25">
      <c r="I13454" s="199"/>
      <c r="J13454" s="199"/>
    </row>
    <row r="13455" spans="9:10" x14ac:dyDescent="0.25">
      <c r="I13455" s="199"/>
      <c r="J13455" s="199"/>
    </row>
    <row r="13456" spans="9:10" x14ac:dyDescent="0.25">
      <c r="I13456" s="199"/>
      <c r="J13456" s="199"/>
    </row>
    <row r="13457" spans="9:10" x14ac:dyDescent="0.25">
      <c r="I13457" s="199"/>
      <c r="J13457" s="199"/>
    </row>
    <row r="13458" spans="9:10" x14ac:dyDescent="0.25">
      <c r="I13458" s="199"/>
      <c r="J13458" s="199"/>
    </row>
    <row r="13459" spans="9:10" x14ac:dyDescent="0.25">
      <c r="I13459" s="199"/>
      <c r="J13459" s="199"/>
    </row>
    <row r="13460" spans="9:10" x14ac:dyDescent="0.25">
      <c r="I13460" s="199"/>
      <c r="J13460" s="199"/>
    </row>
    <row r="13461" spans="9:10" x14ac:dyDescent="0.25">
      <c r="I13461" s="199"/>
      <c r="J13461" s="199"/>
    </row>
    <row r="13462" spans="9:10" x14ac:dyDescent="0.25">
      <c r="I13462" s="199"/>
      <c r="J13462" s="199"/>
    </row>
    <row r="13463" spans="9:10" x14ac:dyDescent="0.25">
      <c r="I13463" s="199"/>
      <c r="J13463" s="199"/>
    </row>
    <row r="13464" spans="9:10" x14ac:dyDescent="0.25">
      <c r="I13464" s="199"/>
      <c r="J13464" s="199"/>
    </row>
    <row r="13465" spans="9:10" x14ac:dyDescent="0.25">
      <c r="I13465" s="199"/>
      <c r="J13465" s="199"/>
    </row>
    <row r="13466" spans="9:10" x14ac:dyDescent="0.25">
      <c r="I13466" s="199"/>
      <c r="J13466" s="199"/>
    </row>
    <row r="13467" spans="9:10" x14ac:dyDescent="0.25">
      <c r="I13467" s="199"/>
      <c r="J13467" s="199"/>
    </row>
    <row r="13468" spans="9:10" x14ac:dyDescent="0.25">
      <c r="I13468" s="199"/>
      <c r="J13468" s="199"/>
    </row>
    <row r="13469" spans="9:10" x14ac:dyDescent="0.25">
      <c r="I13469" s="199"/>
      <c r="J13469" s="199"/>
    </row>
    <row r="13470" spans="9:10" x14ac:dyDescent="0.25">
      <c r="I13470" s="199"/>
      <c r="J13470" s="199"/>
    </row>
    <row r="13471" spans="9:10" x14ac:dyDescent="0.25">
      <c r="I13471" s="199"/>
      <c r="J13471" s="199"/>
    </row>
    <row r="13472" spans="9:10" x14ac:dyDescent="0.25">
      <c r="I13472" s="199"/>
      <c r="J13472" s="199"/>
    </row>
    <row r="13473" spans="9:10" x14ac:dyDescent="0.25">
      <c r="I13473" s="199"/>
      <c r="J13473" s="199"/>
    </row>
    <row r="13474" spans="9:10" x14ac:dyDescent="0.25">
      <c r="I13474" s="199"/>
      <c r="J13474" s="199"/>
    </row>
    <row r="13475" spans="9:10" x14ac:dyDescent="0.25">
      <c r="I13475" s="199"/>
      <c r="J13475" s="199"/>
    </row>
    <row r="13476" spans="9:10" x14ac:dyDescent="0.25">
      <c r="I13476" s="199"/>
      <c r="J13476" s="199"/>
    </row>
    <row r="13477" spans="9:10" x14ac:dyDescent="0.25">
      <c r="I13477" s="199"/>
      <c r="J13477" s="199"/>
    </row>
    <row r="13478" spans="9:10" x14ac:dyDescent="0.25">
      <c r="I13478" s="199"/>
      <c r="J13478" s="199"/>
    </row>
    <row r="13479" spans="9:10" x14ac:dyDescent="0.25">
      <c r="I13479" s="199"/>
      <c r="J13479" s="199"/>
    </row>
    <row r="13480" spans="9:10" x14ac:dyDescent="0.25">
      <c r="I13480" s="199"/>
      <c r="J13480" s="199"/>
    </row>
    <row r="13481" spans="9:10" x14ac:dyDescent="0.25">
      <c r="I13481" s="199"/>
      <c r="J13481" s="199"/>
    </row>
    <row r="13482" spans="9:10" x14ac:dyDescent="0.25">
      <c r="I13482" s="199"/>
      <c r="J13482" s="199"/>
    </row>
    <row r="13483" spans="9:10" x14ac:dyDescent="0.25">
      <c r="I13483" s="199"/>
      <c r="J13483" s="199"/>
    </row>
    <row r="13484" spans="9:10" x14ac:dyDescent="0.25">
      <c r="I13484" s="199"/>
      <c r="J13484" s="199"/>
    </row>
    <row r="13485" spans="9:10" x14ac:dyDescent="0.25">
      <c r="I13485" s="199"/>
      <c r="J13485" s="199"/>
    </row>
    <row r="13486" spans="9:10" x14ac:dyDescent="0.25">
      <c r="I13486" s="199"/>
      <c r="J13486" s="199"/>
    </row>
    <row r="13487" spans="9:10" x14ac:dyDescent="0.25">
      <c r="I13487" s="199"/>
      <c r="J13487" s="199"/>
    </row>
    <row r="13488" spans="9:10" x14ac:dyDescent="0.25">
      <c r="I13488" s="199"/>
      <c r="J13488" s="199"/>
    </row>
    <row r="13489" spans="9:10" x14ac:dyDescent="0.25">
      <c r="I13489" s="199"/>
      <c r="J13489" s="199"/>
    </row>
    <row r="13490" spans="9:10" x14ac:dyDescent="0.25">
      <c r="I13490" s="199"/>
      <c r="J13490" s="199"/>
    </row>
    <row r="13491" spans="9:10" x14ac:dyDescent="0.25">
      <c r="I13491" s="199"/>
      <c r="J13491" s="199"/>
    </row>
    <row r="13492" spans="9:10" x14ac:dyDescent="0.25">
      <c r="I13492" s="199"/>
      <c r="J13492" s="199"/>
    </row>
    <row r="13493" spans="9:10" x14ac:dyDescent="0.25">
      <c r="I13493" s="199"/>
      <c r="J13493" s="199"/>
    </row>
    <row r="13494" spans="9:10" x14ac:dyDescent="0.25">
      <c r="I13494" s="199"/>
      <c r="J13494" s="199"/>
    </row>
    <row r="13495" spans="9:10" x14ac:dyDescent="0.25">
      <c r="I13495" s="199"/>
      <c r="J13495" s="199"/>
    </row>
    <row r="13496" spans="9:10" x14ac:dyDescent="0.25">
      <c r="I13496" s="199"/>
      <c r="J13496" s="199"/>
    </row>
    <row r="13497" spans="9:10" x14ac:dyDescent="0.25">
      <c r="I13497" s="199"/>
      <c r="J13497" s="199"/>
    </row>
    <row r="13498" spans="9:10" x14ac:dyDescent="0.25">
      <c r="I13498" s="199"/>
      <c r="J13498" s="199"/>
    </row>
    <row r="13499" spans="9:10" x14ac:dyDescent="0.25">
      <c r="I13499" s="199"/>
      <c r="J13499" s="199"/>
    </row>
    <row r="13500" spans="9:10" x14ac:dyDescent="0.25">
      <c r="I13500" s="199"/>
      <c r="J13500" s="199"/>
    </row>
    <row r="13501" spans="9:10" x14ac:dyDescent="0.25">
      <c r="I13501" s="199"/>
      <c r="J13501" s="199"/>
    </row>
    <row r="13502" spans="9:10" x14ac:dyDescent="0.25">
      <c r="I13502" s="199"/>
      <c r="J13502" s="199"/>
    </row>
    <row r="13503" spans="9:10" x14ac:dyDescent="0.25">
      <c r="I13503" s="199"/>
      <c r="J13503" s="199"/>
    </row>
    <row r="13504" spans="9:10" x14ac:dyDescent="0.25">
      <c r="I13504" s="199"/>
      <c r="J13504" s="199"/>
    </row>
    <row r="13505" spans="9:10" x14ac:dyDescent="0.25">
      <c r="I13505" s="199"/>
      <c r="J13505" s="199"/>
    </row>
    <row r="13506" spans="9:10" x14ac:dyDescent="0.25">
      <c r="I13506" s="199"/>
      <c r="J13506" s="199"/>
    </row>
    <row r="13507" spans="9:10" x14ac:dyDescent="0.25">
      <c r="I13507" s="199"/>
      <c r="J13507" s="199"/>
    </row>
    <row r="13508" spans="9:10" x14ac:dyDescent="0.25">
      <c r="I13508" s="199"/>
      <c r="J13508" s="199"/>
    </row>
    <row r="13509" spans="9:10" x14ac:dyDescent="0.25">
      <c r="I13509" s="199"/>
      <c r="J13509" s="199"/>
    </row>
    <row r="13510" spans="9:10" x14ac:dyDescent="0.25">
      <c r="I13510" s="199"/>
      <c r="J13510" s="199"/>
    </row>
    <row r="13511" spans="9:10" x14ac:dyDescent="0.25">
      <c r="I13511" s="199"/>
      <c r="J13511" s="199"/>
    </row>
    <row r="13512" spans="9:10" x14ac:dyDescent="0.25">
      <c r="I13512" s="199"/>
      <c r="J13512" s="199"/>
    </row>
    <row r="13513" spans="9:10" x14ac:dyDescent="0.25">
      <c r="I13513" s="199"/>
      <c r="J13513" s="199"/>
    </row>
    <row r="13514" spans="9:10" x14ac:dyDescent="0.25">
      <c r="I13514" s="199"/>
      <c r="J13514" s="199"/>
    </row>
    <row r="13515" spans="9:10" x14ac:dyDescent="0.25">
      <c r="I13515" s="199"/>
      <c r="J13515" s="199"/>
    </row>
    <row r="13516" spans="9:10" x14ac:dyDescent="0.25">
      <c r="I13516" s="199"/>
      <c r="J13516" s="199"/>
    </row>
    <row r="13517" spans="9:10" x14ac:dyDescent="0.25">
      <c r="I13517" s="199"/>
      <c r="J13517" s="199"/>
    </row>
    <row r="13518" spans="9:10" x14ac:dyDescent="0.25">
      <c r="I13518" s="199"/>
      <c r="J13518" s="199"/>
    </row>
    <row r="13519" spans="9:10" x14ac:dyDescent="0.25">
      <c r="I13519" s="199"/>
      <c r="J13519" s="199"/>
    </row>
    <row r="13520" spans="9:10" x14ac:dyDescent="0.25">
      <c r="I13520" s="199"/>
      <c r="J13520" s="199"/>
    </row>
    <row r="13521" spans="9:10" x14ac:dyDescent="0.25">
      <c r="I13521" s="199"/>
      <c r="J13521" s="199"/>
    </row>
    <row r="13522" spans="9:10" x14ac:dyDescent="0.25">
      <c r="I13522" s="199"/>
      <c r="J13522" s="199"/>
    </row>
    <row r="13523" spans="9:10" x14ac:dyDescent="0.25">
      <c r="I13523" s="199"/>
      <c r="J13523" s="199"/>
    </row>
    <row r="13524" spans="9:10" x14ac:dyDescent="0.25">
      <c r="I13524" s="199"/>
      <c r="J13524" s="199"/>
    </row>
    <row r="13525" spans="9:10" x14ac:dyDescent="0.25">
      <c r="I13525" s="199"/>
      <c r="J13525" s="199"/>
    </row>
    <row r="13526" spans="9:10" x14ac:dyDescent="0.25">
      <c r="I13526" s="199"/>
      <c r="J13526" s="199"/>
    </row>
    <row r="13527" spans="9:10" x14ac:dyDescent="0.25">
      <c r="I13527" s="199"/>
      <c r="J13527" s="199"/>
    </row>
    <row r="13528" spans="9:10" x14ac:dyDescent="0.25">
      <c r="I13528" s="199"/>
      <c r="J13528" s="199"/>
    </row>
    <row r="13529" spans="9:10" x14ac:dyDescent="0.25">
      <c r="I13529" s="199"/>
      <c r="J13529" s="199"/>
    </row>
    <row r="13530" spans="9:10" x14ac:dyDescent="0.25">
      <c r="I13530" s="199"/>
      <c r="J13530" s="199"/>
    </row>
    <row r="13531" spans="9:10" x14ac:dyDescent="0.25">
      <c r="I13531" s="199"/>
      <c r="J13531" s="199"/>
    </row>
    <row r="13532" spans="9:10" x14ac:dyDescent="0.25">
      <c r="I13532" s="199"/>
      <c r="J13532" s="199"/>
    </row>
    <row r="13533" spans="9:10" x14ac:dyDescent="0.25">
      <c r="I13533" s="199"/>
      <c r="J13533" s="199"/>
    </row>
    <row r="13534" spans="9:10" x14ac:dyDescent="0.25">
      <c r="I13534" s="199"/>
      <c r="J13534" s="199"/>
    </row>
    <row r="13535" spans="9:10" x14ac:dyDescent="0.25">
      <c r="I13535" s="199"/>
      <c r="J13535" s="199"/>
    </row>
    <row r="13536" spans="9:10" x14ac:dyDescent="0.25">
      <c r="I13536" s="199"/>
      <c r="J13536" s="199"/>
    </row>
    <row r="13537" spans="9:10" x14ac:dyDescent="0.25">
      <c r="I13537" s="199"/>
      <c r="J13537" s="199"/>
    </row>
    <row r="13538" spans="9:10" x14ac:dyDescent="0.25">
      <c r="I13538" s="199"/>
      <c r="J13538" s="199"/>
    </row>
    <row r="13539" spans="9:10" x14ac:dyDescent="0.25">
      <c r="I13539" s="199"/>
      <c r="J13539" s="199"/>
    </row>
    <row r="13540" spans="9:10" x14ac:dyDescent="0.25">
      <c r="I13540" s="199"/>
      <c r="J13540" s="199"/>
    </row>
    <row r="13541" spans="9:10" x14ac:dyDescent="0.25">
      <c r="I13541" s="199"/>
      <c r="J13541" s="199"/>
    </row>
    <row r="13542" spans="9:10" x14ac:dyDescent="0.25">
      <c r="I13542" s="199"/>
      <c r="J13542" s="199"/>
    </row>
    <row r="13543" spans="9:10" x14ac:dyDescent="0.25">
      <c r="I13543" s="199"/>
      <c r="J13543" s="199"/>
    </row>
    <row r="13544" spans="9:10" x14ac:dyDescent="0.25">
      <c r="I13544" s="199"/>
      <c r="J13544" s="199"/>
    </row>
    <row r="13545" spans="9:10" x14ac:dyDescent="0.25">
      <c r="I13545" s="199"/>
      <c r="J13545" s="199"/>
    </row>
    <row r="13546" spans="9:10" x14ac:dyDescent="0.25">
      <c r="I13546" s="199"/>
      <c r="J13546" s="199"/>
    </row>
    <row r="13547" spans="9:10" x14ac:dyDescent="0.25">
      <c r="I13547" s="199"/>
      <c r="J13547" s="199"/>
    </row>
    <row r="13548" spans="9:10" x14ac:dyDescent="0.25">
      <c r="I13548" s="199"/>
      <c r="J13548" s="199"/>
    </row>
    <row r="13549" spans="9:10" x14ac:dyDescent="0.25">
      <c r="I13549" s="199"/>
      <c r="J13549" s="199"/>
    </row>
    <row r="13550" spans="9:10" x14ac:dyDescent="0.25">
      <c r="I13550" s="199"/>
      <c r="J13550" s="199"/>
    </row>
    <row r="13551" spans="9:10" x14ac:dyDescent="0.25">
      <c r="I13551" s="199"/>
      <c r="J13551" s="199"/>
    </row>
    <row r="13552" spans="9:10" x14ac:dyDescent="0.25">
      <c r="I13552" s="199"/>
      <c r="J13552" s="199"/>
    </row>
    <row r="13553" spans="9:10" x14ac:dyDescent="0.25">
      <c r="I13553" s="199"/>
      <c r="J13553" s="199"/>
    </row>
    <row r="13554" spans="9:10" x14ac:dyDescent="0.25">
      <c r="I13554" s="199"/>
      <c r="J13554" s="199"/>
    </row>
    <row r="13555" spans="9:10" x14ac:dyDescent="0.25">
      <c r="I13555" s="199"/>
      <c r="J13555" s="199"/>
    </row>
    <row r="13556" spans="9:10" x14ac:dyDescent="0.25">
      <c r="I13556" s="199"/>
      <c r="J13556" s="199"/>
    </row>
    <row r="13557" spans="9:10" x14ac:dyDescent="0.25">
      <c r="I13557" s="199"/>
      <c r="J13557" s="199"/>
    </row>
    <row r="13558" spans="9:10" x14ac:dyDescent="0.25">
      <c r="I13558" s="199"/>
      <c r="J13558" s="199"/>
    </row>
    <row r="13559" spans="9:10" x14ac:dyDescent="0.25">
      <c r="I13559" s="199"/>
      <c r="J13559" s="199"/>
    </row>
    <row r="13560" spans="9:10" x14ac:dyDescent="0.25">
      <c r="I13560" s="199"/>
      <c r="J13560" s="199"/>
    </row>
    <row r="13561" spans="9:10" x14ac:dyDescent="0.25">
      <c r="I13561" s="199"/>
      <c r="J13561" s="199"/>
    </row>
    <row r="13562" spans="9:10" x14ac:dyDescent="0.25">
      <c r="I13562" s="199"/>
      <c r="J13562" s="199"/>
    </row>
    <row r="13563" spans="9:10" x14ac:dyDescent="0.25">
      <c r="I13563" s="199"/>
      <c r="J13563" s="199"/>
    </row>
    <row r="13564" spans="9:10" x14ac:dyDescent="0.25">
      <c r="I13564" s="199"/>
      <c r="J13564" s="199"/>
    </row>
    <row r="13565" spans="9:10" x14ac:dyDescent="0.25">
      <c r="I13565" s="199"/>
      <c r="J13565" s="199"/>
    </row>
    <row r="13566" spans="9:10" x14ac:dyDescent="0.25">
      <c r="I13566" s="199"/>
      <c r="J13566" s="199"/>
    </row>
    <row r="13567" spans="9:10" x14ac:dyDescent="0.25">
      <c r="I13567" s="199"/>
      <c r="J13567" s="199"/>
    </row>
    <row r="13568" spans="9:10" x14ac:dyDescent="0.25">
      <c r="I13568" s="199"/>
      <c r="J13568" s="199"/>
    </row>
    <row r="13569" spans="9:10" x14ac:dyDescent="0.25">
      <c r="I13569" s="199"/>
      <c r="J13569" s="199"/>
    </row>
    <row r="13570" spans="9:10" x14ac:dyDescent="0.25">
      <c r="I13570" s="199"/>
      <c r="J13570" s="199"/>
    </row>
    <row r="13571" spans="9:10" x14ac:dyDescent="0.25">
      <c r="I13571" s="199"/>
      <c r="J13571" s="199"/>
    </row>
    <row r="13572" spans="9:10" x14ac:dyDescent="0.25">
      <c r="I13572" s="199"/>
      <c r="J13572" s="199"/>
    </row>
    <row r="13573" spans="9:10" x14ac:dyDescent="0.25">
      <c r="I13573" s="199"/>
      <c r="J13573" s="199"/>
    </row>
    <row r="13574" spans="9:10" x14ac:dyDescent="0.25">
      <c r="I13574" s="199"/>
      <c r="J13574" s="199"/>
    </row>
    <row r="13575" spans="9:10" x14ac:dyDescent="0.25">
      <c r="I13575" s="199"/>
      <c r="J13575" s="199"/>
    </row>
    <row r="13576" spans="9:10" x14ac:dyDescent="0.25">
      <c r="I13576" s="199"/>
      <c r="J13576" s="199"/>
    </row>
    <row r="13577" spans="9:10" x14ac:dyDescent="0.25">
      <c r="I13577" s="199"/>
      <c r="J13577" s="199"/>
    </row>
    <row r="13578" spans="9:10" x14ac:dyDescent="0.25">
      <c r="I13578" s="199"/>
      <c r="J13578" s="199"/>
    </row>
    <row r="13579" spans="9:10" x14ac:dyDescent="0.25">
      <c r="I13579" s="199"/>
      <c r="J13579" s="199"/>
    </row>
    <row r="13580" spans="9:10" x14ac:dyDescent="0.25">
      <c r="I13580" s="199"/>
      <c r="J13580" s="199"/>
    </row>
    <row r="13581" spans="9:10" x14ac:dyDescent="0.25">
      <c r="I13581" s="199"/>
      <c r="J13581" s="199"/>
    </row>
    <row r="13582" spans="9:10" x14ac:dyDescent="0.25">
      <c r="I13582" s="199"/>
      <c r="J13582" s="199"/>
    </row>
    <row r="13583" spans="9:10" x14ac:dyDescent="0.25">
      <c r="I13583" s="199"/>
      <c r="J13583" s="199"/>
    </row>
    <row r="13584" spans="9:10" x14ac:dyDescent="0.25">
      <c r="I13584" s="199"/>
      <c r="J13584" s="199"/>
    </row>
    <row r="13585" spans="9:10" x14ac:dyDescent="0.25">
      <c r="I13585" s="199"/>
      <c r="J13585" s="199"/>
    </row>
    <row r="13586" spans="9:10" x14ac:dyDescent="0.25">
      <c r="I13586" s="199"/>
      <c r="J13586" s="199"/>
    </row>
    <row r="13587" spans="9:10" x14ac:dyDescent="0.25">
      <c r="I13587" s="199"/>
      <c r="J13587" s="199"/>
    </row>
    <row r="13588" spans="9:10" x14ac:dyDescent="0.25">
      <c r="I13588" s="199"/>
      <c r="J13588" s="199"/>
    </row>
    <row r="13589" spans="9:10" x14ac:dyDescent="0.25">
      <c r="I13589" s="199"/>
      <c r="J13589" s="199"/>
    </row>
    <row r="13590" spans="9:10" x14ac:dyDescent="0.25">
      <c r="I13590" s="199"/>
      <c r="J13590" s="199"/>
    </row>
    <row r="13591" spans="9:10" x14ac:dyDescent="0.25">
      <c r="I13591" s="199"/>
      <c r="J13591" s="199"/>
    </row>
    <row r="13592" spans="9:10" x14ac:dyDescent="0.25">
      <c r="I13592" s="199"/>
      <c r="J13592" s="199"/>
    </row>
    <row r="13593" spans="9:10" x14ac:dyDescent="0.25">
      <c r="I13593" s="199"/>
      <c r="J13593" s="199"/>
    </row>
    <row r="13594" spans="9:10" x14ac:dyDescent="0.25">
      <c r="I13594" s="199"/>
      <c r="J13594" s="199"/>
    </row>
    <row r="13595" spans="9:10" x14ac:dyDescent="0.25">
      <c r="I13595" s="199"/>
      <c r="J13595" s="199"/>
    </row>
    <row r="13596" spans="9:10" x14ac:dyDescent="0.25">
      <c r="I13596" s="199"/>
      <c r="J13596" s="199"/>
    </row>
    <row r="13597" spans="9:10" x14ac:dyDescent="0.25">
      <c r="I13597" s="199"/>
      <c r="J13597" s="199"/>
    </row>
    <row r="13598" spans="9:10" x14ac:dyDescent="0.25">
      <c r="I13598" s="199"/>
      <c r="J13598" s="199"/>
    </row>
    <row r="13599" spans="9:10" x14ac:dyDescent="0.25">
      <c r="I13599" s="199"/>
      <c r="J13599" s="199"/>
    </row>
    <row r="13600" spans="9:10" x14ac:dyDescent="0.25">
      <c r="I13600" s="199"/>
      <c r="J13600" s="199"/>
    </row>
    <row r="13601" spans="9:10" x14ac:dyDescent="0.25">
      <c r="I13601" s="199"/>
      <c r="J13601" s="199"/>
    </row>
    <row r="13602" spans="9:10" x14ac:dyDescent="0.25">
      <c r="I13602" s="199"/>
      <c r="J13602" s="199"/>
    </row>
    <row r="13603" spans="9:10" x14ac:dyDescent="0.25">
      <c r="I13603" s="199"/>
      <c r="J13603" s="199"/>
    </row>
    <row r="13604" spans="9:10" x14ac:dyDescent="0.25">
      <c r="I13604" s="199"/>
      <c r="J13604" s="199"/>
    </row>
    <row r="13605" spans="9:10" x14ac:dyDescent="0.25">
      <c r="I13605" s="199"/>
      <c r="J13605" s="199"/>
    </row>
    <row r="13606" spans="9:10" x14ac:dyDescent="0.25">
      <c r="I13606" s="199"/>
      <c r="J13606" s="199"/>
    </row>
    <row r="13607" spans="9:10" x14ac:dyDescent="0.25">
      <c r="I13607" s="199"/>
      <c r="J13607" s="199"/>
    </row>
    <row r="13608" spans="9:10" x14ac:dyDescent="0.25">
      <c r="I13608" s="199"/>
      <c r="J13608" s="199"/>
    </row>
    <row r="13609" spans="9:10" x14ac:dyDescent="0.25">
      <c r="I13609" s="199"/>
      <c r="J13609" s="199"/>
    </row>
    <row r="13610" spans="9:10" x14ac:dyDescent="0.25">
      <c r="I13610" s="199"/>
      <c r="J13610" s="199"/>
    </row>
    <row r="13611" spans="9:10" x14ac:dyDescent="0.25">
      <c r="I13611" s="199"/>
      <c r="J13611" s="199"/>
    </row>
    <row r="13612" spans="9:10" x14ac:dyDescent="0.25">
      <c r="I13612" s="199"/>
      <c r="J13612" s="199"/>
    </row>
    <row r="13613" spans="9:10" x14ac:dyDescent="0.25">
      <c r="I13613" s="199"/>
      <c r="J13613" s="199"/>
    </row>
    <row r="13614" spans="9:10" x14ac:dyDescent="0.25">
      <c r="I13614" s="199"/>
      <c r="J13614" s="199"/>
    </row>
    <row r="13615" spans="9:10" x14ac:dyDescent="0.25">
      <c r="I13615" s="199"/>
      <c r="J13615" s="199"/>
    </row>
    <row r="13616" spans="9:10" x14ac:dyDescent="0.25">
      <c r="I13616" s="199"/>
      <c r="J13616" s="199"/>
    </row>
    <row r="13617" spans="9:10" x14ac:dyDescent="0.25">
      <c r="I13617" s="199"/>
      <c r="J13617" s="199"/>
    </row>
    <row r="13618" spans="9:10" x14ac:dyDescent="0.25">
      <c r="I13618" s="199"/>
      <c r="J13618" s="199"/>
    </row>
    <row r="13619" spans="9:10" x14ac:dyDescent="0.25">
      <c r="I13619" s="199"/>
      <c r="J13619" s="199"/>
    </row>
    <row r="13620" spans="9:10" x14ac:dyDescent="0.25">
      <c r="I13620" s="199"/>
      <c r="J13620" s="199"/>
    </row>
    <row r="13621" spans="9:10" x14ac:dyDescent="0.25">
      <c r="I13621" s="199"/>
      <c r="J13621" s="199"/>
    </row>
    <row r="13622" spans="9:10" x14ac:dyDescent="0.25">
      <c r="I13622" s="199"/>
      <c r="J13622" s="199"/>
    </row>
    <row r="13623" spans="9:10" x14ac:dyDescent="0.25">
      <c r="I13623" s="199"/>
      <c r="J13623" s="199"/>
    </row>
    <row r="13624" spans="9:10" x14ac:dyDescent="0.25">
      <c r="I13624" s="199"/>
      <c r="J13624" s="199"/>
    </row>
    <row r="13625" spans="9:10" x14ac:dyDescent="0.25">
      <c r="I13625" s="199"/>
      <c r="J13625" s="199"/>
    </row>
    <row r="13626" spans="9:10" x14ac:dyDescent="0.25">
      <c r="I13626" s="199"/>
      <c r="J13626" s="199"/>
    </row>
    <row r="13627" spans="9:10" x14ac:dyDescent="0.25">
      <c r="I13627" s="199"/>
      <c r="J13627" s="199"/>
    </row>
    <row r="13628" spans="9:10" x14ac:dyDescent="0.25">
      <c r="I13628" s="199"/>
      <c r="J13628" s="199"/>
    </row>
    <row r="13629" spans="9:10" x14ac:dyDescent="0.25">
      <c r="I13629" s="199"/>
      <c r="J13629" s="199"/>
    </row>
    <row r="13630" spans="9:10" x14ac:dyDescent="0.25">
      <c r="I13630" s="199"/>
      <c r="J13630" s="199"/>
    </row>
    <row r="13631" spans="9:10" x14ac:dyDescent="0.25">
      <c r="I13631" s="199"/>
      <c r="J13631" s="199"/>
    </row>
    <row r="13632" spans="9:10" x14ac:dyDescent="0.25">
      <c r="I13632" s="199"/>
      <c r="J13632" s="199"/>
    </row>
    <row r="13633" spans="9:10" x14ac:dyDescent="0.25">
      <c r="I13633" s="199"/>
      <c r="J13633" s="199"/>
    </row>
    <row r="13634" spans="9:10" x14ac:dyDescent="0.25">
      <c r="I13634" s="199"/>
      <c r="J13634" s="199"/>
    </row>
    <row r="13635" spans="9:10" x14ac:dyDescent="0.25">
      <c r="I13635" s="199"/>
      <c r="J13635" s="199"/>
    </row>
    <row r="13636" spans="9:10" x14ac:dyDescent="0.25">
      <c r="I13636" s="199"/>
      <c r="J13636" s="199"/>
    </row>
    <row r="13637" spans="9:10" x14ac:dyDescent="0.25">
      <c r="I13637" s="199"/>
      <c r="J13637" s="199"/>
    </row>
    <row r="13638" spans="9:10" x14ac:dyDescent="0.25">
      <c r="I13638" s="199"/>
      <c r="J13638" s="199"/>
    </row>
    <row r="13639" spans="9:10" x14ac:dyDescent="0.25">
      <c r="I13639" s="199"/>
      <c r="J13639" s="199"/>
    </row>
    <row r="13640" spans="9:10" x14ac:dyDescent="0.25">
      <c r="I13640" s="199"/>
      <c r="J13640" s="199"/>
    </row>
    <row r="13641" spans="9:10" x14ac:dyDescent="0.25">
      <c r="I13641" s="199"/>
      <c r="J13641" s="199"/>
    </row>
    <row r="13642" spans="9:10" x14ac:dyDescent="0.25">
      <c r="I13642" s="199"/>
      <c r="J13642" s="199"/>
    </row>
    <row r="13643" spans="9:10" x14ac:dyDescent="0.25">
      <c r="I13643" s="199"/>
      <c r="J13643" s="199"/>
    </row>
    <row r="13644" spans="9:10" x14ac:dyDescent="0.25">
      <c r="I13644" s="199"/>
      <c r="J13644" s="199"/>
    </row>
    <row r="13645" spans="9:10" x14ac:dyDescent="0.25">
      <c r="I13645" s="199"/>
      <c r="J13645" s="199"/>
    </row>
    <row r="13646" spans="9:10" x14ac:dyDescent="0.25">
      <c r="I13646" s="199"/>
      <c r="J13646" s="199"/>
    </row>
    <row r="13647" spans="9:10" x14ac:dyDescent="0.25">
      <c r="I13647" s="199"/>
      <c r="J13647" s="199"/>
    </row>
    <row r="13648" spans="9:10" x14ac:dyDescent="0.25">
      <c r="I13648" s="199"/>
      <c r="J13648" s="199"/>
    </row>
    <row r="13649" spans="9:10" x14ac:dyDescent="0.25">
      <c r="I13649" s="199"/>
      <c r="J13649" s="199"/>
    </row>
    <row r="13650" spans="9:10" x14ac:dyDescent="0.25">
      <c r="I13650" s="199"/>
      <c r="J13650" s="199"/>
    </row>
    <row r="13651" spans="9:10" x14ac:dyDescent="0.25">
      <c r="I13651" s="199"/>
      <c r="J13651" s="199"/>
    </row>
    <row r="13652" spans="9:10" x14ac:dyDescent="0.25">
      <c r="I13652" s="199"/>
      <c r="J13652" s="199"/>
    </row>
    <row r="13653" spans="9:10" x14ac:dyDescent="0.25">
      <c r="I13653" s="199"/>
      <c r="J13653" s="199"/>
    </row>
    <row r="13654" spans="9:10" x14ac:dyDescent="0.25">
      <c r="I13654" s="199"/>
      <c r="J13654" s="199"/>
    </row>
    <row r="13655" spans="9:10" x14ac:dyDescent="0.25">
      <c r="I13655" s="199"/>
      <c r="J13655" s="199"/>
    </row>
    <row r="13656" spans="9:10" x14ac:dyDescent="0.25">
      <c r="I13656" s="199"/>
      <c r="J13656" s="199"/>
    </row>
    <row r="13657" spans="9:10" x14ac:dyDescent="0.25">
      <c r="I13657" s="199"/>
      <c r="J13657" s="199"/>
    </row>
    <row r="13658" spans="9:10" x14ac:dyDescent="0.25">
      <c r="I13658" s="199"/>
      <c r="J13658" s="199"/>
    </row>
    <row r="13659" spans="9:10" x14ac:dyDescent="0.25">
      <c r="I13659" s="199"/>
      <c r="J13659" s="199"/>
    </row>
    <row r="13660" spans="9:10" x14ac:dyDescent="0.25">
      <c r="I13660" s="199"/>
      <c r="J13660" s="199"/>
    </row>
    <row r="13661" spans="9:10" x14ac:dyDescent="0.25">
      <c r="I13661" s="199"/>
      <c r="J13661" s="199"/>
    </row>
    <row r="13662" spans="9:10" x14ac:dyDescent="0.25">
      <c r="I13662" s="199"/>
      <c r="J13662" s="199"/>
    </row>
    <row r="13663" spans="9:10" x14ac:dyDescent="0.25">
      <c r="I13663" s="199"/>
      <c r="J13663" s="199"/>
    </row>
    <row r="13664" spans="9:10" x14ac:dyDescent="0.25">
      <c r="I13664" s="199"/>
      <c r="J13664" s="199"/>
    </row>
    <row r="13665" spans="9:10" x14ac:dyDescent="0.25">
      <c r="I13665" s="199"/>
      <c r="J13665" s="199"/>
    </row>
    <row r="13666" spans="9:10" x14ac:dyDescent="0.25">
      <c r="I13666" s="199"/>
      <c r="J13666" s="199"/>
    </row>
    <row r="13667" spans="9:10" x14ac:dyDescent="0.25">
      <c r="I13667" s="199"/>
      <c r="J13667" s="199"/>
    </row>
    <row r="13668" spans="9:10" x14ac:dyDescent="0.25">
      <c r="I13668" s="199"/>
      <c r="J13668" s="199"/>
    </row>
    <row r="13669" spans="9:10" x14ac:dyDescent="0.25">
      <c r="I13669" s="199"/>
      <c r="J13669" s="199"/>
    </row>
    <row r="13670" spans="9:10" x14ac:dyDescent="0.25">
      <c r="I13670" s="199"/>
      <c r="J13670" s="199"/>
    </row>
    <row r="13671" spans="9:10" x14ac:dyDescent="0.25">
      <c r="I13671" s="199"/>
      <c r="J13671" s="199"/>
    </row>
    <row r="13672" spans="9:10" x14ac:dyDescent="0.25">
      <c r="I13672" s="199"/>
      <c r="J13672" s="199"/>
    </row>
    <row r="13673" spans="9:10" x14ac:dyDescent="0.25">
      <c r="I13673" s="199"/>
      <c r="J13673" s="199"/>
    </row>
    <row r="13674" spans="9:10" x14ac:dyDescent="0.25">
      <c r="I13674" s="199"/>
      <c r="J13674" s="199"/>
    </row>
    <row r="13675" spans="9:10" x14ac:dyDescent="0.25">
      <c r="I13675" s="199"/>
      <c r="J13675" s="199"/>
    </row>
    <row r="13676" spans="9:10" x14ac:dyDescent="0.25">
      <c r="I13676" s="199"/>
      <c r="J13676" s="199"/>
    </row>
    <row r="13677" spans="9:10" x14ac:dyDescent="0.25">
      <c r="I13677" s="199"/>
      <c r="J13677" s="199"/>
    </row>
    <row r="13678" spans="9:10" x14ac:dyDescent="0.25">
      <c r="I13678" s="199"/>
      <c r="J13678" s="199"/>
    </row>
    <row r="13679" spans="9:10" x14ac:dyDescent="0.25">
      <c r="I13679" s="199"/>
      <c r="J13679" s="199"/>
    </row>
    <row r="13680" spans="9:10" x14ac:dyDescent="0.25">
      <c r="I13680" s="199"/>
      <c r="J13680" s="199"/>
    </row>
    <row r="13681" spans="9:10" x14ac:dyDescent="0.25">
      <c r="I13681" s="199"/>
      <c r="J13681" s="199"/>
    </row>
    <row r="13682" spans="9:10" x14ac:dyDescent="0.25">
      <c r="I13682" s="199"/>
      <c r="J13682" s="199"/>
    </row>
    <row r="13683" spans="9:10" x14ac:dyDescent="0.25">
      <c r="I13683" s="199"/>
      <c r="J13683" s="199"/>
    </row>
    <row r="13684" spans="9:10" x14ac:dyDescent="0.25">
      <c r="I13684" s="199"/>
      <c r="J13684" s="199"/>
    </row>
    <row r="13685" spans="9:10" x14ac:dyDescent="0.25">
      <c r="I13685" s="199"/>
      <c r="J13685" s="199"/>
    </row>
    <row r="13686" spans="9:10" x14ac:dyDescent="0.25">
      <c r="I13686" s="199"/>
      <c r="J13686" s="199"/>
    </row>
    <row r="13687" spans="9:10" x14ac:dyDescent="0.25">
      <c r="I13687" s="199"/>
      <c r="J13687" s="199"/>
    </row>
    <row r="13688" spans="9:10" x14ac:dyDescent="0.25">
      <c r="I13688" s="199"/>
      <c r="J13688" s="199"/>
    </row>
    <row r="13689" spans="9:10" x14ac:dyDescent="0.25">
      <c r="I13689" s="199"/>
      <c r="J13689" s="199"/>
    </row>
    <row r="13690" spans="9:10" x14ac:dyDescent="0.25">
      <c r="I13690" s="199"/>
      <c r="J13690" s="199"/>
    </row>
    <row r="13691" spans="9:10" x14ac:dyDescent="0.25">
      <c r="I13691" s="199"/>
      <c r="J13691" s="199"/>
    </row>
    <row r="13692" spans="9:10" x14ac:dyDescent="0.25">
      <c r="I13692" s="199"/>
      <c r="J13692" s="199"/>
    </row>
    <row r="13693" spans="9:10" x14ac:dyDescent="0.25">
      <c r="I13693" s="199"/>
      <c r="J13693" s="199"/>
    </row>
    <row r="13694" spans="9:10" x14ac:dyDescent="0.25">
      <c r="I13694" s="199"/>
      <c r="J13694" s="199"/>
    </row>
    <row r="13695" spans="9:10" x14ac:dyDescent="0.25">
      <c r="I13695" s="199"/>
      <c r="J13695" s="199"/>
    </row>
    <row r="13696" spans="9:10" x14ac:dyDescent="0.25">
      <c r="I13696" s="199"/>
      <c r="J13696" s="199"/>
    </row>
    <row r="13697" spans="9:10" x14ac:dyDescent="0.25">
      <c r="I13697" s="199"/>
      <c r="J13697" s="199"/>
    </row>
    <row r="13698" spans="9:10" x14ac:dyDescent="0.25">
      <c r="I13698" s="199"/>
      <c r="J13698" s="199"/>
    </row>
    <row r="13699" spans="9:10" x14ac:dyDescent="0.25">
      <c r="I13699" s="199"/>
      <c r="J13699" s="199"/>
    </row>
    <row r="13700" spans="9:10" x14ac:dyDescent="0.25">
      <c r="I13700" s="199"/>
      <c r="J13700" s="199"/>
    </row>
    <row r="13701" spans="9:10" x14ac:dyDescent="0.25">
      <c r="I13701" s="199"/>
      <c r="J13701" s="199"/>
    </row>
    <row r="13702" spans="9:10" x14ac:dyDescent="0.25">
      <c r="I13702" s="199"/>
      <c r="J13702" s="199"/>
    </row>
    <row r="13703" spans="9:10" x14ac:dyDescent="0.25">
      <c r="I13703" s="199"/>
      <c r="J13703" s="199"/>
    </row>
    <row r="13704" spans="9:10" x14ac:dyDescent="0.25">
      <c r="I13704" s="199"/>
      <c r="J13704" s="199"/>
    </row>
    <row r="13705" spans="9:10" x14ac:dyDescent="0.25">
      <c r="I13705" s="199"/>
      <c r="J13705" s="199"/>
    </row>
    <row r="13706" spans="9:10" x14ac:dyDescent="0.25">
      <c r="I13706" s="199"/>
      <c r="J13706" s="199"/>
    </row>
    <row r="13707" spans="9:10" x14ac:dyDescent="0.25">
      <c r="I13707" s="199"/>
      <c r="J13707" s="199"/>
    </row>
    <row r="13708" spans="9:10" x14ac:dyDescent="0.25">
      <c r="I13708" s="199"/>
      <c r="J13708" s="199"/>
    </row>
    <row r="13709" spans="9:10" x14ac:dyDescent="0.25">
      <c r="I13709" s="199"/>
      <c r="J13709" s="199"/>
    </row>
    <row r="13710" spans="9:10" x14ac:dyDescent="0.25">
      <c r="I13710" s="199"/>
      <c r="J13710" s="199"/>
    </row>
    <row r="13711" spans="9:10" x14ac:dyDescent="0.25">
      <c r="I13711" s="199"/>
      <c r="J13711" s="199"/>
    </row>
    <row r="13712" spans="9:10" x14ac:dyDescent="0.25">
      <c r="I13712" s="199"/>
      <c r="J13712" s="199"/>
    </row>
    <row r="13713" spans="9:10" x14ac:dyDescent="0.25">
      <c r="I13713" s="199"/>
      <c r="J13713" s="199"/>
    </row>
    <row r="13714" spans="9:10" x14ac:dyDescent="0.25">
      <c r="I13714" s="199"/>
      <c r="J13714" s="199"/>
    </row>
    <row r="13715" spans="9:10" x14ac:dyDescent="0.25">
      <c r="I13715" s="199"/>
      <c r="J13715" s="199"/>
    </row>
    <row r="13716" spans="9:10" x14ac:dyDescent="0.25">
      <c r="I13716" s="199"/>
      <c r="J13716" s="199"/>
    </row>
    <row r="13717" spans="9:10" x14ac:dyDescent="0.25">
      <c r="I13717" s="199"/>
      <c r="J13717" s="199"/>
    </row>
    <row r="13718" spans="9:10" x14ac:dyDescent="0.25">
      <c r="I13718" s="199"/>
      <c r="J13718" s="199"/>
    </row>
    <row r="13719" spans="9:10" x14ac:dyDescent="0.25">
      <c r="I13719" s="199"/>
      <c r="J13719" s="199"/>
    </row>
    <row r="13720" spans="9:10" x14ac:dyDescent="0.25">
      <c r="I13720" s="199"/>
      <c r="J13720" s="199"/>
    </row>
    <row r="13721" spans="9:10" x14ac:dyDescent="0.25">
      <c r="I13721" s="199"/>
      <c r="J13721" s="199"/>
    </row>
    <row r="13722" spans="9:10" x14ac:dyDescent="0.25">
      <c r="I13722" s="199"/>
      <c r="J13722" s="199"/>
    </row>
    <row r="13723" spans="9:10" x14ac:dyDescent="0.25">
      <c r="I13723" s="199"/>
      <c r="J13723" s="199"/>
    </row>
    <row r="13724" spans="9:10" x14ac:dyDescent="0.25">
      <c r="I13724" s="199"/>
      <c r="J13724" s="199"/>
    </row>
    <row r="13725" spans="9:10" x14ac:dyDescent="0.25">
      <c r="I13725" s="199"/>
      <c r="J13725" s="199"/>
    </row>
    <row r="13726" spans="9:10" x14ac:dyDescent="0.25">
      <c r="I13726" s="199"/>
      <c r="J13726" s="199"/>
    </row>
    <row r="13727" spans="9:10" x14ac:dyDescent="0.25">
      <c r="I13727" s="199"/>
      <c r="J13727" s="199"/>
    </row>
    <row r="13728" spans="9:10" x14ac:dyDescent="0.25">
      <c r="I13728" s="199"/>
      <c r="J13728" s="199"/>
    </row>
    <row r="13729" spans="9:10" x14ac:dyDescent="0.25">
      <c r="I13729" s="199"/>
      <c r="J13729" s="199"/>
    </row>
    <row r="13730" spans="9:10" x14ac:dyDescent="0.25">
      <c r="I13730" s="199"/>
      <c r="J13730" s="199"/>
    </row>
    <row r="13731" spans="9:10" x14ac:dyDescent="0.25">
      <c r="I13731" s="199"/>
      <c r="J13731" s="199"/>
    </row>
    <row r="13732" spans="9:10" x14ac:dyDescent="0.25">
      <c r="I13732" s="199"/>
      <c r="J13732" s="199"/>
    </row>
    <row r="13733" spans="9:10" x14ac:dyDescent="0.25">
      <c r="I13733" s="199"/>
      <c r="J13733" s="199"/>
    </row>
    <row r="13734" spans="9:10" x14ac:dyDescent="0.25">
      <c r="I13734" s="199"/>
      <c r="J13734" s="199"/>
    </row>
    <row r="13735" spans="9:10" x14ac:dyDescent="0.25">
      <c r="I13735" s="199"/>
      <c r="J13735" s="199"/>
    </row>
    <row r="13736" spans="9:10" x14ac:dyDescent="0.25">
      <c r="I13736" s="199"/>
      <c r="J13736" s="199"/>
    </row>
    <row r="13737" spans="9:10" x14ac:dyDescent="0.25">
      <c r="I13737" s="199"/>
      <c r="J13737" s="199"/>
    </row>
    <row r="13738" spans="9:10" x14ac:dyDescent="0.25">
      <c r="I13738" s="199"/>
      <c r="J13738" s="199"/>
    </row>
    <row r="13739" spans="9:10" x14ac:dyDescent="0.25">
      <c r="I13739" s="199"/>
      <c r="J13739" s="199"/>
    </row>
    <row r="13740" spans="9:10" x14ac:dyDescent="0.25">
      <c r="I13740" s="199"/>
      <c r="J13740" s="199"/>
    </row>
    <row r="13741" spans="9:10" x14ac:dyDescent="0.25">
      <c r="I13741" s="199"/>
      <c r="J13741" s="199"/>
    </row>
    <row r="13742" spans="9:10" x14ac:dyDescent="0.25">
      <c r="I13742" s="199"/>
      <c r="J13742" s="199"/>
    </row>
    <row r="13743" spans="9:10" x14ac:dyDescent="0.25">
      <c r="I13743" s="199"/>
      <c r="J13743" s="199"/>
    </row>
    <row r="13744" spans="9:10" x14ac:dyDescent="0.25">
      <c r="I13744" s="199"/>
      <c r="J13744" s="199"/>
    </row>
    <row r="13745" spans="9:10" x14ac:dyDescent="0.25">
      <c r="I13745" s="199"/>
      <c r="J13745" s="199"/>
    </row>
    <row r="13746" spans="9:10" x14ac:dyDescent="0.25">
      <c r="I13746" s="199"/>
      <c r="J13746" s="199"/>
    </row>
    <row r="13747" spans="9:10" x14ac:dyDescent="0.25">
      <c r="I13747" s="199"/>
      <c r="J13747" s="199"/>
    </row>
    <row r="13748" spans="9:10" x14ac:dyDescent="0.25">
      <c r="I13748" s="199"/>
      <c r="J13748" s="199"/>
    </row>
    <row r="13749" spans="9:10" x14ac:dyDescent="0.25">
      <c r="I13749" s="199"/>
      <c r="J13749" s="199"/>
    </row>
    <row r="13750" spans="9:10" x14ac:dyDescent="0.25">
      <c r="I13750" s="199"/>
      <c r="J13750" s="199"/>
    </row>
    <row r="13751" spans="9:10" x14ac:dyDescent="0.25">
      <c r="I13751" s="199"/>
      <c r="J13751" s="199"/>
    </row>
    <row r="13752" spans="9:10" x14ac:dyDescent="0.25">
      <c r="I13752" s="199"/>
      <c r="J13752" s="199"/>
    </row>
    <row r="13753" spans="9:10" x14ac:dyDescent="0.25">
      <c r="I13753" s="199"/>
      <c r="J13753" s="199"/>
    </row>
    <row r="13754" spans="9:10" x14ac:dyDescent="0.25">
      <c r="I13754" s="199"/>
      <c r="J13754" s="199"/>
    </row>
    <row r="13755" spans="9:10" x14ac:dyDescent="0.25">
      <c r="I13755" s="199"/>
      <c r="J13755" s="199"/>
    </row>
    <row r="13756" spans="9:10" x14ac:dyDescent="0.25">
      <c r="I13756" s="199"/>
      <c r="J13756" s="199"/>
    </row>
    <row r="13757" spans="9:10" x14ac:dyDescent="0.25">
      <c r="I13757" s="199"/>
      <c r="J13757" s="199"/>
    </row>
    <row r="13758" spans="9:10" x14ac:dyDescent="0.25">
      <c r="I13758" s="199"/>
      <c r="J13758" s="199"/>
    </row>
    <row r="13759" spans="9:10" x14ac:dyDescent="0.25">
      <c r="I13759" s="199"/>
      <c r="J13759" s="199"/>
    </row>
    <row r="13760" spans="9:10" x14ac:dyDescent="0.25">
      <c r="I13760" s="199"/>
      <c r="J13760" s="199"/>
    </row>
    <row r="13761" spans="9:10" x14ac:dyDescent="0.25">
      <c r="I13761" s="199"/>
      <c r="J13761" s="199"/>
    </row>
    <row r="13762" spans="9:10" x14ac:dyDescent="0.25">
      <c r="I13762" s="199"/>
      <c r="J13762" s="199"/>
    </row>
    <row r="13763" spans="9:10" x14ac:dyDescent="0.25">
      <c r="I13763" s="199"/>
      <c r="J13763" s="199"/>
    </row>
    <row r="13764" spans="9:10" x14ac:dyDescent="0.25">
      <c r="I13764" s="199"/>
      <c r="J13764" s="199"/>
    </row>
    <row r="13765" spans="9:10" x14ac:dyDescent="0.25">
      <c r="I13765" s="199"/>
      <c r="J13765" s="199"/>
    </row>
    <row r="13766" spans="9:10" x14ac:dyDescent="0.25">
      <c r="I13766" s="199"/>
      <c r="J13766" s="199"/>
    </row>
    <row r="13767" spans="9:10" x14ac:dyDescent="0.25">
      <c r="I13767" s="199"/>
      <c r="J13767" s="199"/>
    </row>
    <row r="13768" spans="9:10" x14ac:dyDescent="0.25">
      <c r="I13768" s="199"/>
      <c r="J13768" s="199"/>
    </row>
    <row r="13769" spans="9:10" x14ac:dyDescent="0.25">
      <c r="I13769" s="199"/>
      <c r="J13769" s="199"/>
    </row>
    <row r="13770" spans="9:10" x14ac:dyDescent="0.25">
      <c r="I13770" s="199"/>
      <c r="J13770" s="199"/>
    </row>
    <row r="13771" spans="9:10" x14ac:dyDescent="0.25">
      <c r="I13771" s="199"/>
      <c r="J13771" s="199"/>
    </row>
    <row r="13772" spans="9:10" x14ac:dyDescent="0.25">
      <c r="I13772" s="199"/>
      <c r="J13772" s="199"/>
    </row>
    <row r="13773" spans="9:10" x14ac:dyDescent="0.25">
      <c r="I13773" s="199"/>
      <c r="J13773" s="199"/>
    </row>
    <row r="13774" spans="9:10" x14ac:dyDescent="0.25">
      <c r="I13774" s="199"/>
      <c r="J13774" s="199"/>
    </row>
    <row r="13775" spans="9:10" x14ac:dyDescent="0.25">
      <c r="I13775" s="199"/>
      <c r="J13775" s="199"/>
    </row>
    <row r="13776" spans="9:10" x14ac:dyDescent="0.25">
      <c r="I13776" s="199"/>
      <c r="J13776" s="199"/>
    </row>
    <row r="13777" spans="9:10" x14ac:dyDescent="0.25">
      <c r="I13777" s="199"/>
      <c r="J13777" s="199"/>
    </row>
    <row r="13778" spans="9:10" x14ac:dyDescent="0.25">
      <c r="I13778" s="199"/>
      <c r="J13778" s="199"/>
    </row>
    <row r="13779" spans="9:10" x14ac:dyDescent="0.25">
      <c r="I13779" s="199"/>
      <c r="J13779" s="199"/>
    </row>
    <row r="13780" spans="9:10" x14ac:dyDescent="0.25">
      <c r="I13780" s="199"/>
      <c r="J13780" s="199"/>
    </row>
    <row r="13781" spans="9:10" x14ac:dyDescent="0.25">
      <c r="I13781" s="199"/>
      <c r="J13781" s="199"/>
    </row>
    <row r="13782" spans="9:10" x14ac:dyDescent="0.25">
      <c r="I13782" s="199"/>
      <c r="J13782" s="199"/>
    </row>
    <row r="13783" spans="9:10" x14ac:dyDescent="0.25">
      <c r="I13783" s="199"/>
      <c r="J13783" s="199"/>
    </row>
    <row r="13784" spans="9:10" x14ac:dyDescent="0.25">
      <c r="I13784" s="199"/>
      <c r="J13784" s="199"/>
    </row>
    <row r="13785" spans="9:10" x14ac:dyDescent="0.25">
      <c r="I13785" s="199"/>
      <c r="J13785" s="199"/>
    </row>
    <row r="13786" spans="9:10" x14ac:dyDescent="0.25">
      <c r="I13786" s="199"/>
      <c r="J13786" s="199"/>
    </row>
    <row r="13787" spans="9:10" x14ac:dyDescent="0.25">
      <c r="I13787" s="199"/>
      <c r="J13787" s="199"/>
    </row>
    <row r="13788" spans="9:10" x14ac:dyDescent="0.25">
      <c r="I13788" s="199"/>
      <c r="J13788" s="199"/>
    </row>
    <row r="13789" spans="9:10" x14ac:dyDescent="0.25">
      <c r="I13789" s="199"/>
      <c r="J13789" s="199"/>
    </row>
    <row r="13790" spans="9:10" x14ac:dyDescent="0.25">
      <c r="I13790" s="199"/>
      <c r="J13790" s="199"/>
    </row>
    <row r="13791" spans="9:10" x14ac:dyDescent="0.25">
      <c r="I13791" s="199"/>
      <c r="J13791" s="199"/>
    </row>
    <row r="13792" spans="9:10" x14ac:dyDescent="0.25">
      <c r="I13792" s="199"/>
      <c r="J13792" s="199"/>
    </row>
    <row r="13793" spans="9:10" x14ac:dyDescent="0.25">
      <c r="I13793" s="199"/>
      <c r="J13793" s="199"/>
    </row>
    <row r="13794" spans="9:10" x14ac:dyDescent="0.25">
      <c r="I13794" s="199"/>
      <c r="J13794" s="199"/>
    </row>
    <row r="13795" spans="9:10" x14ac:dyDescent="0.25">
      <c r="I13795" s="199"/>
      <c r="J13795" s="199"/>
    </row>
    <row r="13796" spans="9:10" x14ac:dyDescent="0.25">
      <c r="I13796" s="199"/>
      <c r="J13796" s="199"/>
    </row>
    <row r="13797" spans="9:10" x14ac:dyDescent="0.25">
      <c r="I13797" s="199"/>
      <c r="J13797" s="199"/>
    </row>
    <row r="13798" spans="9:10" x14ac:dyDescent="0.25">
      <c r="I13798" s="199"/>
      <c r="J13798" s="199"/>
    </row>
    <row r="13799" spans="9:10" x14ac:dyDescent="0.25">
      <c r="I13799" s="199"/>
      <c r="J13799" s="199"/>
    </row>
    <row r="13800" spans="9:10" x14ac:dyDescent="0.25">
      <c r="I13800" s="199"/>
      <c r="J13800" s="199"/>
    </row>
    <row r="13801" spans="9:10" x14ac:dyDescent="0.25">
      <c r="I13801" s="199"/>
      <c r="J13801" s="199"/>
    </row>
    <row r="13802" spans="9:10" x14ac:dyDescent="0.25">
      <c r="I13802" s="199"/>
      <c r="J13802" s="199"/>
    </row>
    <row r="13803" spans="9:10" x14ac:dyDescent="0.25">
      <c r="I13803" s="199"/>
      <c r="J13803" s="199"/>
    </row>
    <row r="13804" spans="9:10" x14ac:dyDescent="0.25">
      <c r="I13804" s="199"/>
      <c r="J13804" s="199"/>
    </row>
    <row r="13805" spans="9:10" x14ac:dyDescent="0.25">
      <c r="I13805" s="199"/>
      <c r="J13805" s="199"/>
    </row>
    <row r="13806" spans="9:10" x14ac:dyDescent="0.25">
      <c r="I13806" s="199"/>
      <c r="J13806" s="199"/>
    </row>
    <row r="13807" spans="9:10" x14ac:dyDescent="0.25">
      <c r="I13807" s="199"/>
      <c r="J13807" s="199"/>
    </row>
    <row r="13808" spans="9:10" x14ac:dyDescent="0.25">
      <c r="I13808" s="199"/>
      <c r="J13808" s="199"/>
    </row>
    <row r="13809" spans="9:10" x14ac:dyDescent="0.25">
      <c r="I13809" s="199"/>
      <c r="J13809" s="199"/>
    </row>
    <row r="13810" spans="9:10" x14ac:dyDescent="0.25">
      <c r="I13810" s="199"/>
      <c r="J13810" s="199"/>
    </row>
    <row r="13811" spans="9:10" x14ac:dyDescent="0.25">
      <c r="I13811" s="199"/>
      <c r="J13811" s="199"/>
    </row>
    <row r="13812" spans="9:10" x14ac:dyDescent="0.25">
      <c r="I13812" s="199"/>
      <c r="J13812" s="199"/>
    </row>
    <row r="13813" spans="9:10" x14ac:dyDescent="0.25">
      <c r="I13813" s="199"/>
      <c r="J13813" s="199"/>
    </row>
    <row r="13814" spans="9:10" x14ac:dyDescent="0.25">
      <c r="I13814" s="199"/>
      <c r="J13814" s="199"/>
    </row>
    <row r="13815" spans="9:10" x14ac:dyDescent="0.25">
      <c r="I13815" s="199"/>
      <c r="J13815" s="199"/>
    </row>
    <row r="13816" spans="9:10" x14ac:dyDescent="0.25">
      <c r="I13816" s="199"/>
      <c r="J13816" s="199"/>
    </row>
    <row r="13817" spans="9:10" x14ac:dyDescent="0.25">
      <c r="I13817" s="199"/>
      <c r="J13817" s="199"/>
    </row>
    <row r="13818" spans="9:10" x14ac:dyDescent="0.25">
      <c r="I13818" s="199"/>
      <c r="J13818" s="199"/>
    </row>
    <row r="13819" spans="9:10" x14ac:dyDescent="0.25">
      <c r="I13819" s="199"/>
      <c r="J13819" s="199"/>
    </row>
    <row r="13820" spans="9:10" x14ac:dyDescent="0.25">
      <c r="I13820" s="199"/>
      <c r="J13820" s="199"/>
    </row>
    <row r="13821" spans="9:10" x14ac:dyDescent="0.25">
      <c r="I13821" s="199"/>
      <c r="J13821" s="199"/>
    </row>
    <row r="13822" spans="9:10" x14ac:dyDescent="0.25">
      <c r="I13822" s="199"/>
      <c r="J13822" s="199"/>
    </row>
    <row r="13823" spans="9:10" x14ac:dyDescent="0.25">
      <c r="I13823" s="199"/>
      <c r="J13823" s="199"/>
    </row>
    <row r="13824" spans="9:10" x14ac:dyDescent="0.25">
      <c r="I13824" s="199"/>
      <c r="J13824" s="199"/>
    </row>
    <row r="13825" spans="9:10" x14ac:dyDescent="0.25">
      <c r="I13825" s="199"/>
      <c r="J13825" s="199"/>
    </row>
    <row r="13826" spans="9:10" x14ac:dyDescent="0.25">
      <c r="I13826" s="199"/>
      <c r="J13826" s="199"/>
    </row>
    <row r="13827" spans="9:10" x14ac:dyDescent="0.25">
      <c r="I13827" s="199"/>
      <c r="J13827" s="199"/>
    </row>
    <row r="13828" spans="9:10" x14ac:dyDescent="0.25">
      <c r="I13828" s="199"/>
      <c r="J13828" s="199"/>
    </row>
    <row r="13829" spans="9:10" x14ac:dyDescent="0.25">
      <c r="I13829" s="199"/>
      <c r="J13829" s="199"/>
    </row>
    <row r="13830" spans="9:10" x14ac:dyDescent="0.25">
      <c r="I13830" s="199"/>
      <c r="J13830" s="199"/>
    </row>
    <row r="13831" spans="9:10" x14ac:dyDescent="0.25">
      <c r="I13831" s="199"/>
      <c r="J13831" s="199"/>
    </row>
    <row r="13832" spans="9:10" x14ac:dyDescent="0.25">
      <c r="I13832" s="199"/>
      <c r="J13832" s="199"/>
    </row>
    <row r="13833" spans="9:10" x14ac:dyDescent="0.25">
      <c r="I13833" s="199"/>
      <c r="J13833" s="199"/>
    </row>
    <row r="13834" spans="9:10" x14ac:dyDescent="0.25">
      <c r="I13834" s="199"/>
      <c r="J13834" s="199"/>
    </row>
    <row r="13835" spans="9:10" x14ac:dyDescent="0.25">
      <c r="I13835" s="199"/>
      <c r="J13835" s="199"/>
    </row>
    <row r="13836" spans="9:10" x14ac:dyDescent="0.25">
      <c r="I13836" s="199"/>
      <c r="J13836" s="199"/>
    </row>
    <row r="13837" spans="9:10" x14ac:dyDescent="0.25">
      <c r="I13837" s="199"/>
      <c r="J13837" s="199"/>
    </row>
    <row r="13838" spans="9:10" x14ac:dyDescent="0.25">
      <c r="I13838" s="199"/>
      <c r="J13838" s="199"/>
    </row>
    <row r="13839" spans="9:10" x14ac:dyDescent="0.25">
      <c r="I13839" s="199"/>
      <c r="J13839" s="199"/>
    </row>
    <row r="13840" spans="9:10" x14ac:dyDescent="0.25">
      <c r="I13840" s="199"/>
      <c r="J13840" s="199"/>
    </row>
    <row r="13841" spans="9:10" x14ac:dyDescent="0.25">
      <c r="I13841" s="199"/>
      <c r="J13841" s="199"/>
    </row>
    <row r="13842" spans="9:10" x14ac:dyDescent="0.25">
      <c r="I13842" s="199"/>
      <c r="J13842" s="199"/>
    </row>
    <row r="13843" spans="9:10" x14ac:dyDescent="0.25">
      <c r="I13843" s="199"/>
      <c r="J13843" s="199"/>
    </row>
    <row r="13844" spans="9:10" x14ac:dyDescent="0.25">
      <c r="I13844" s="199"/>
      <c r="J13844" s="199"/>
    </row>
    <row r="13845" spans="9:10" x14ac:dyDescent="0.25">
      <c r="I13845" s="199"/>
      <c r="J13845" s="199"/>
    </row>
    <row r="13846" spans="9:10" x14ac:dyDescent="0.25">
      <c r="I13846" s="199"/>
      <c r="J13846" s="199"/>
    </row>
    <row r="13847" spans="9:10" x14ac:dyDescent="0.25">
      <c r="I13847" s="199"/>
      <c r="J13847" s="199"/>
    </row>
    <row r="13848" spans="9:10" x14ac:dyDescent="0.25">
      <c r="I13848" s="199"/>
      <c r="J13848" s="199"/>
    </row>
    <row r="13849" spans="9:10" x14ac:dyDescent="0.25">
      <c r="I13849" s="199"/>
      <c r="J13849" s="199"/>
    </row>
    <row r="13850" spans="9:10" x14ac:dyDescent="0.25">
      <c r="I13850" s="199"/>
      <c r="J13850" s="199"/>
    </row>
    <row r="13851" spans="9:10" x14ac:dyDescent="0.25">
      <c r="I13851" s="199"/>
      <c r="J13851" s="199"/>
    </row>
    <row r="13852" spans="9:10" x14ac:dyDescent="0.25">
      <c r="I13852" s="199"/>
      <c r="J13852" s="199"/>
    </row>
    <row r="13853" spans="9:10" x14ac:dyDescent="0.25">
      <c r="I13853" s="199"/>
      <c r="J13853" s="199"/>
    </row>
    <row r="13854" spans="9:10" x14ac:dyDescent="0.25">
      <c r="I13854" s="199"/>
      <c r="J13854" s="199"/>
    </row>
    <row r="13855" spans="9:10" x14ac:dyDescent="0.25">
      <c r="I13855" s="199"/>
      <c r="J13855" s="199"/>
    </row>
    <row r="13856" spans="9:10" x14ac:dyDescent="0.25">
      <c r="I13856" s="199"/>
      <c r="J13856" s="199"/>
    </row>
    <row r="13857" spans="9:10" x14ac:dyDescent="0.25">
      <c r="I13857" s="199"/>
      <c r="J13857" s="199"/>
    </row>
    <row r="13858" spans="9:10" x14ac:dyDescent="0.25">
      <c r="I13858" s="199"/>
      <c r="J13858" s="199"/>
    </row>
    <row r="13859" spans="9:10" x14ac:dyDescent="0.25">
      <c r="I13859" s="199"/>
      <c r="J13859" s="199"/>
    </row>
    <row r="13860" spans="9:10" x14ac:dyDescent="0.25">
      <c r="I13860" s="199"/>
      <c r="J13860" s="199"/>
    </row>
    <row r="13861" spans="9:10" x14ac:dyDescent="0.25">
      <c r="I13861" s="199"/>
      <c r="J13861" s="199"/>
    </row>
    <row r="13862" spans="9:10" x14ac:dyDescent="0.25">
      <c r="I13862" s="199"/>
      <c r="J13862" s="199"/>
    </row>
    <row r="13863" spans="9:10" x14ac:dyDescent="0.25">
      <c r="I13863" s="199"/>
      <c r="J13863" s="199"/>
    </row>
    <row r="13864" spans="9:10" x14ac:dyDescent="0.25">
      <c r="I13864" s="199"/>
      <c r="J13864" s="199"/>
    </row>
    <row r="13865" spans="9:10" x14ac:dyDescent="0.25">
      <c r="I13865" s="199"/>
      <c r="J13865" s="199"/>
    </row>
    <row r="13866" spans="9:10" x14ac:dyDescent="0.25">
      <c r="I13866" s="199"/>
      <c r="J13866" s="199"/>
    </row>
    <row r="13867" spans="9:10" x14ac:dyDescent="0.25">
      <c r="I13867" s="199"/>
      <c r="J13867" s="199"/>
    </row>
    <row r="13868" spans="9:10" x14ac:dyDescent="0.25">
      <c r="I13868" s="199"/>
      <c r="J13868" s="199"/>
    </row>
    <row r="13869" spans="9:10" x14ac:dyDescent="0.25">
      <c r="I13869" s="199"/>
      <c r="J13869" s="199"/>
    </row>
    <row r="13870" spans="9:10" x14ac:dyDescent="0.25">
      <c r="I13870" s="199"/>
      <c r="J13870" s="199"/>
    </row>
    <row r="13871" spans="9:10" x14ac:dyDescent="0.25">
      <c r="I13871" s="199"/>
      <c r="J13871" s="199"/>
    </row>
    <row r="13872" spans="9:10" x14ac:dyDescent="0.25">
      <c r="I13872" s="199"/>
      <c r="J13872" s="199"/>
    </row>
    <row r="13873" spans="9:10" x14ac:dyDescent="0.25">
      <c r="I13873" s="199"/>
      <c r="J13873" s="199"/>
    </row>
    <row r="13874" spans="9:10" x14ac:dyDescent="0.25">
      <c r="I13874" s="199"/>
      <c r="J13874" s="199"/>
    </row>
    <row r="13875" spans="9:10" x14ac:dyDescent="0.25">
      <c r="I13875" s="199"/>
      <c r="J13875" s="199"/>
    </row>
    <row r="13876" spans="9:10" x14ac:dyDescent="0.25">
      <c r="I13876" s="199"/>
      <c r="J13876" s="199"/>
    </row>
    <row r="13877" spans="9:10" x14ac:dyDescent="0.25">
      <c r="I13877" s="199"/>
      <c r="J13877" s="199"/>
    </row>
    <row r="13878" spans="9:10" x14ac:dyDescent="0.25">
      <c r="I13878" s="199"/>
      <c r="J13878" s="199"/>
    </row>
    <row r="13879" spans="9:10" x14ac:dyDescent="0.25">
      <c r="I13879" s="199"/>
      <c r="J13879" s="199"/>
    </row>
    <row r="13880" spans="9:10" x14ac:dyDescent="0.25">
      <c r="I13880" s="199"/>
      <c r="J13880" s="199"/>
    </row>
    <row r="13881" spans="9:10" x14ac:dyDescent="0.25">
      <c r="I13881" s="199"/>
      <c r="J13881" s="199"/>
    </row>
    <row r="13882" spans="9:10" x14ac:dyDescent="0.25">
      <c r="I13882" s="199"/>
      <c r="J13882" s="199"/>
    </row>
    <row r="13883" spans="9:10" x14ac:dyDescent="0.25">
      <c r="I13883" s="199"/>
      <c r="J13883" s="199"/>
    </row>
    <row r="13884" spans="9:10" x14ac:dyDescent="0.25">
      <c r="I13884" s="199"/>
      <c r="J13884" s="199"/>
    </row>
    <row r="13885" spans="9:10" x14ac:dyDescent="0.25">
      <c r="I13885" s="199"/>
      <c r="J13885" s="199"/>
    </row>
    <row r="13886" spans="9:10" x14ac:dyDescent="0.25">
      <c r="I13886" s="199"/>
      <c r="J13886" s="199"/>
    </row>
    <row r="13887" spans="9:10" x14ac:dyDescent="0.25">
      <c r="I13887" s="199"/>
      <c r="J13887" s="199"/>
    </row>
    <row r="13888" spans="9:10" x14ac:dyDescent="0.25">
      <c r="I13888" s="199"/>
      <c r="J13888" s="199"/>
    </row>
    <row r="13889" spans="9:10" x14ac:dyDescent="0.25">
      <c r="I13889" s="199"/>
      <c r="J13889" s="199"/>
    </row>
    <row r="13890" spans="9:10" x14ac:dyDescent="0.25">
      <c r="I13890" s="199"/>
      <c r="J13890" s="199"/>
    </row>
    <row r="13891" spans="9:10" x14ac:dyDescent="0.25">
      <c r="I13891" s="199"/>
      <c r="J13891" s="199"/>
    </row>
    <row r="13892" spans="9:10" x14ac:dyDescent="0.25">
      <c r="I13892" s="199"/>
      <c r="J13892" s="199"/>
    </row>
    <row r="13893" spans="9:10" x14ac:dyDescent="0.25">
      <c r="I13893" s="199"/>
      <c r="J13893" s="199"/>
    </row>
    <row r="13894" spans="9:10" x14ac:dyDescent="0.25">
      <c r="I13894" s="199"/>
      <c r="J13894" s="199"/>
    </row>
    <row r="13895" spans="9:10" x14ac:dyDescent="0.25">
      <c r="I13895" s="199"/>
      <c r="J13895" s="199"/>
    </row>
    <row r="13896" spans="9:10" x14ac:dyDescent="0.25">
      <c r="I13896" s="199"/>
      <c r="J13896" s="199"/>
    </row>
    <row r="13897" spans="9:10" x14ac:dyDescent="0.25">
      <c r="I13897" s="199"/>
      <c r="J13897" s="199"/>
    </row>
    <row r="13898" spans="9:10" x14ac:dyDescent="0.25">
      <c r="I13898" s="199"/>
      <c r="J13898" s="199"/>
    </row>
    <row r="13899" spans="9:10" x14ac:dyDescent="0.25">
      <c r="I13899" s="199"/>
      <c r="J13899" s="199"/>
    </row>
    <row r="13900" spans="9:10" x14ac:dyDescent="0.25">
      <c r="I13900" s="199"/>
      <c r="J13900" s="199"/>
    </row>
    <row r="13901" spans="9:10" x14ac:dyDescent="0.25">
      <c r="I13901" s="199"/>
      <c r="J13901" s="199"/>
    </row>
    <row r="13902" spans="9:10" x14ac:dyDescent="0.25">
      <c r="I13902" s="199"/>
      <c r="J13902" s="199"/>
    </row>
    <row r="13903" spans="9:10" x14ac:dyDescent="0.25">
      <c r="I13903" s="199"/>
      <c r="J13903" s="199"/>
    </row>
    <row r="13904" spans="9:10" x14ac:dyDescent="0.25">
      <c r="I13904" s="199"/>
      <c r="J13904" s="199"/>
    </row>
    <row r="13905" spans="9:10" x14ac:dyDescent="0.25">
      <c r="I13905" s="199"/>
      <c r="J13905" s="199"/>
    </row>
    <row r="13906" spans="9:10" x14ac:dyDescent="0.25">
      <c r="I13906" s="199"/>
      <c r="J13906" s="199"/>
    </row>
    <row r="13907" spans="9:10" x14ac:dyDescent="0.25">
      <c r="I13907" s="199"/>
      <c r="J13907" s="199"/>
    </row>
    <row r="13908" spans="9:10" x14ac:dyDescent="0.25">
      <c r="I13908" s="199"/>
      <c r="J13908" s="199"/>
    </row>
    <row r="13909" spans="9:10" x14ac:dyDescent="0.25">
      <c r="I13909" s="199"/>
      <c r="J13909" s="199"/>
    </row>
    <row r="13910" spans="9:10" x14ac:dyDescent="0.25">
      <c r="I13910" s="199"/>
      <c r="J13910" s="199"/>
    </row>
    <row r="13911" spans="9:10" x14ac:dyDescent="0.25">
      <c r="I13911" s="199"/>
      <c r="J13911" s="199"/>
    </row>
    <row r="13912" spans="9:10" x14ac:dyDescent="0.25">
      <c r="I13912" s="199"/>
      <c r="J13912" s="199"/>
    </row>
    <row r="13913" spans="9:10" x14ac:dyDescent="0.25">
      <c r="I13913" s="199"/>
      <c r="J13913" s="199"/>
    </row>
    <row r="13914" spans="9:10" x14ac:dyDescent="0.25">
      <c r="I13914" s="199"/>
      <c r="J13914" s="199"/>
    </row>
    <row r="13915" spans="9:10" x14ac:dyDescent="0.25">
      <c r="I13915" s="199"/>
      <c r="J13915" s="199"/>
    </row>
    <row r="13916" spans="9:10" x14ac:dyDescent="0.25">
      <c r="I13916" s="199"/>
      <c r="J13916" s="199"/>
    </row>
    <row r="13917" spans="9:10" x14ac:dyDescent="0.25">
      <c r="I13917" s="199"/>
      <c r="J13917" s="199"/>
    </row>
    <row r="13918" spans="9:10" x14ac:dyDescent="0.25">
      <c r="I13918" s="199"/>
      <c r="J13918" s="199"/>
    </row>
    <row r="13919" spans="9:10" x14ac:dyDescent="0.25">
      <c r="I13919" s="199"/>
      <c r="J13919" s="199"/>
    </row>
    <row r="13920" spans="9:10" x14ac:dyDescent="0.25">
      <c r="I13920" s="199"/>
      <c r="J13920" s="199"/>
    </row>
    <row r="13921" spans="9:10" x14ac:dyDescent="0.25">
      <c r="I13921" s="199"/>
      <c r="J13921" s="199"/>
    </row>
    <row r="13922" spans="9:10" x14ac:dyDescent="0.25">
      <c r="I13922" s="199"/>
      <c r="J13922" s="199"/>
    </row>
    <row r="13923" spans="9:10" x14ac:dyDescent="0.25">
      <c r="I13923" s="199"/>
      <c r="J13923" s="199"/>
    </row>
    <row r="13924" spans="9:10" x14ac:dyDescent="0.25">
      <c r="I13924" s="199"/>
      <c r="J13924" s="199"/>
    </row>
    <row r="13925" spans="9:10" x14ac:dyDescent="0.25">
      <c r="I13925" s="199"/>
      <c r="J13925" s="199"/>
    </row>
    <row r="13926" spans="9:10" x14ac:dyDescent="0.25">
      <c r="I13926" s="199"/>
      <c r="J13926" s="199"/>
    </row>
    <row r="13927" spans="9:10" x14ac:dyDescent="0.25">
      <c r="I13927" s="199"/>
      <c r="J13927" s="199"/>
    </row>
    <row r="13928" spans="9:10" x14ac:dyDescent="0.25">
      <c r="I13928" s="199"/>
      <c r="J13928" s="199"/>
    </row>
    <row r="13929" spans="9:10" x14ac:dyDescent="0.25">
      <c r="I13929" s="199"/>
      <c r="J13929" s="199"/>
    </row>
    <row r="13930" spans="9:10" x14ac:dyDescent="0.25">
      <c r="I13930" s="199"/>
      <c r="J13930" s="199"/>
    </row>
    <row r="13931" spans="9:10" x14ac:dyDescent="0.25">
      <c r="I13931" s="199"/>
      <c r="J13931" s="199"/>
    </row>
    <row r="13932" spans="9:10" x14ac:dyDescent="0.25">
      <c r="I13932" s="199"/>
      <c r="J13932" s="199"/>
    </row>
    <row r="13933" spans="9:10" x14ac:dyDescent="0.25">
      <c r="I13933" s="199"/>
      <c r="J13933" s="199"/>
    </row>
    <row r="13934" spans="9:10" x14ac:dyDescent="0.25">
      <c r="I13934" s="199"/>
      <c r="J13934" s="199"/>
    </row>
    <row r="13935" spans="9:10" x14ac:dyDescent="0.25">
      <c r="I13935" s="199"/>
      <c r="J13935" s="199"/>
    </row>
    <row r="13936" spans="9:10" x14ac:dyDescent="0.25">
      <c r="I13936" s="199"/>
      <c r="J13936" s="199"/>
    </row>
    <row r="13937" spans="9:10" x14ac:dyDescent="0.25">
      <c r="I13937" s="199"/>
      <c r="J13937" s="199"/>
    </row>
    <row r="13938" spans="9:10" x14ac:dyDescent="0.25">
      <c r="I13938" s="199"/>
      <c r="J13938" s="199"/>
    </row>
    <row r="13939" spans="9:10" x14ac:dyDescent="0.25">
      <c r="I13939" s="199"/>
      <c r="J13939" s="199"/>
    </row>
    <row r="13940" spans="9:10" x14ac:dyDescent="0.25">
      <c r="I13940" s="199"/>
      <c r="J13940" s="199"/>
    </row>
    <row r="13941" spans="9:10" x14ac:dyDescent="0.25">
      <c r="I13941" s="199"/>
      <c r="J13941" s="199"/>
    </row>
    <row r="13942" spans="9:10" x14ac:dyDescent="0.25">
      <c r="I13942" s="199"/>
      <c r="J13942" s="199"/>
    </row>
    <row r="13943" spans="9:10" x14ac:dyDescent="0.25">
      <c r="I13943" s="199"/>
      <c r="J13943" s="199"/>
    </row>
    <row r="13944" spans="9:10" x14ac:dyDescent="0.25">
      <c r="I13944" s="199"/>
      <c r="J13944" s="199"/>
    </row>
    <row r="13945" spans="9:10" x14ac:dyDescent="0.25">
      <c r="I13945" s="199"/>
      <c r="J13945" s="199"/>
    </row>
    <row r="13946" spans="9:10" x14ac:dyDescent="0.25">
      <c r="I13946" s="199"/>
      <c r="J13946" s="199"/>
    </row>
    <row r="13947" spans="9:10" x14ac:dyDescent="0.25">
      <c r="I13947" s="199"/>
      <c r="J13947" s="199"/>
    </row>
    <row r="13948" spans="9:10" x14ac:dyDescent="0.25">
      <c r="I13948" s="199"/>
      <c r="J13948" s="199"/>
    </row>
    <row r="13949" spans="9:10" x14ac:dyDescent="0.25">
      <c r="I13949" s="199"/>
      <c r="J13949" s="199"/>
    </row>
    <row r="13950" spans="9:10" x14ac:dyDescent="0.25">
      <c r="I13950" s="199"/>
      <c r="J13950" s="199"/>
    </row>
    <row r="13951" spans="9:10" x14ac:dyDescent="0.25">
      <c r="I13951" s="199"/>
      <c r="J13951" s="199"/>
    </row>
    <row r="13952" spans="9:10" x14ac:dyDescent="0.25">
      <c r="I13952" s="199"/>
      <c r="J13952" s="199"/>
    </row>
    <row r="13953" spans="9:10" x14ac:dyDescent="0.25">
      <c r="I13953" s="199"/>
      <c r="J13953" s="199"/>
    </row>
    <row r="13954" spans="9:10" x14ac:dyDescent="0.25">
      <c r="I13954" s="199"/>
      <c r="J13954" s="199"/>
    </row>
    <row r="13955" spans="9:10" x14ac:dyDescent="0.25">
      <c r="I13955" s="199"/>
      <c r="J13955" s="199"/>
    </row>
    <row r="13956" spans="9:10" x14ac:dyDescent="0.25">
      <c r="I13956" s="199"/>
      <c r="J13956" s="199"/>
    </row>
    <row r="13957" spans="9:10" x14ac:dyDescent="0.25">
      <c r="I13957" s="199"/>
      <c r="J13957" s="199"/>
    </row>
    <row r="13958" spans="9:10" x14ac:dyDescent="0.25">
      <c r="I13958" s="199"/>
      <c r="J13958" s="199"/>
    </row>
    <row r="13959" spans="9:10" x14ac:dyDescent="0.25">
      <c r="I13959" s="199"/>
      <c r="J13959" s="199"/>
    </row>
    <row r="13960" spans="9:10" x14ac:dyDescent="0.25">
      <c r="I13960" s="199"/>
      <c r="J13960" s="199"/>
    </row>
    <row r="13961" spans="9:10" x14ac:dyDescent="0.25">
      <c r="I13961" s="199"/>
      <c r="J13961" s="199"/>
    </row>
    <row r="13962" spans="9:10" x14ac:dyDescent="0.25">
      <c r="I13962" s="199"/>
      <c r="J13962" s="199"/>
    </row>
    <row r="13963" spans="9:10" x14ac:dyDescent="0.25">
      <c r="I13963" s="199"/>
      <c r="J13963" s="199"/>
    </row>
    <row r="13964" spans="9:10" x14ac:dyDescent="0.25">
      <c r="I13964" s="199"/>
      <c r="J13964" s="199"/>
    </row>
    <row r="13965" spans="9:10" x14ac:dyDescent="0.25">
      <c r="I13965" s="199"/>
      <c r="J13965" s="199"/>
    </row>
    <row r="13966" spans="9:10" x14ac:dyDescent="0.25">
      <c r="I13966" s="199"/>
      <c r="J13966" s="199"/>
    </row>
    <row r="13967" spans="9:10" x14ac:dyDescent="0.25">
      <c r="I13967" s="199"/>
      <c r="J13967" s="199"/>
    </row>
    <row r="13968" spans="9:10" x14ac:dyDescent="0.25">
      <c r="I13968" s="199"/>
      <c r="J13968" s="199"/>
    </row>
    <row r="13969" spans="9:10" x14ac:dyDescent="0.25">
      <c r="I13969" s="199"/>
      <c r="J13969" s="199"/>
    </row>
    <row r="13970" spans="9:10" x14ac:dyDescent="0.25">
      <c r="I13970" s="199"/>
      <c r="J13970" s="199"/>
    </row>
    <row r="13971" spans="9:10" x14ac:dyDescent="0.25">
      <c r="I13971" s="199"/>
      <c r="J13971" s="199"/>
    </row>
    <row r="13972" spans="9:10" x14ac:dyDescent="0.25">
      <c r="I13972" s="199"/>
      <c r="J13972" s="199"/>
    </row>
    <row r="13973" spans="9:10" x14ac:dyDescent="0.25">
      <c r="I13973" s="199"/>
      <c r="J13973" s="199"/>
    </row>
    <row r="13974" spans="9:10" x14ac:dyDescent="0.25">
      <c r="I13974" s="199"/>
      <c r="J13974" s="199"/>
    </row>
    <row r="13975" spans="9:10" x14ac:dyDescent="0.25">
      <c r="I13975" s="199"/>
      <c r="J13975" s="199"/>
    </row>
    <row r="13976" spans="9:10" x14ac:dyDescent="0.25">
      <c r="I13976" s="199"/>
      <c r="J13976" s="199"/>
    </row>
    <row r="13977" spans="9:10" x14ac:dyDescent="0.25">
      <c r="I13977" s="199"/>
      <c r="J13977" s="199"/>
    </row>
    <row r="13978" spans="9:10" x14ac:dyDescent="0.25">
      <c r="I13978" s="199"/>
      <c r="J13978" s="199"/>
    </row>
    <row r="13979" spans="9:10" x14ac:dyDescent="0.25">
      <c r="I13979" s="199"/>
      <c r="J13979" s="199"/>
    </row>
    <row r="13980" spans="9:10" x14ac:dyDescent="0.25">
      <c r="I13980" s="199"/>
      <c r="J13980" s="199"/>
    </row>
    <row r="13981" spans="9:10" x14ac:dyDescent="0.25">
      <c r="I13981" s="199"/>
      <c r="J13981" s="199"/>
    </row>
    <row r="13982" spans="9:10" x14ac:dyDescent="0.25">
      <c r="I13982" s="199"/>
      <c r="J13982" s="199"/>
    </row>
    <row r="13983" spans="9:10" x14ac:dyDescent="0.25">
      <c r="I13983" s="199"/>
      <c r="J13983" s="199"/>
    </row>
    <row r="13984" spans="9:10" x14ac:dyDescent="0.25">
      <c r="I13984" s="199"/>
      <c r="J13984" s="199"/>
    </row>
    <row r="13985" spans="9:10" x14ac:dyDescent="0.25">
      <c r="I13985" s="199"/>
      <c r="J13985" s="199"/>
    </row>
    <row r="13986" spans="9:10" x14ac:dyDescent="0.25">
      <c r="I13986" s="199"/>
      <c r="J13986" s="199"/>
    </row>
    <row r="13987" spans="9:10" x14ac:dyDescent="0.25">
      <c r="I13987" s="199"/>
      <c r="J13987" s="199"/>
    </row>
    <row r="13988" spans="9:10" x14ac:dyDescent="0.25">
      <c r="I13988" s="199"/>
      <c r="J13988" s="199"/>
    </row>
    <row r="13989" spans="9:10" x14ac:dyDescent="0.25">
      <c r="I13989" s="199"/>
      <c r="J13989" s="199"/>
    </row>
    <row r="13990" spans="9:10" x14ac:dyDescent="0.25">
      <c r="I13990" s="199"/>
      <c r="J13990" s="199"/>
    </row>
    <row r="13991" spans="9:10" x14ac:dyDescent="0.25">
      <c r="I13991" s="199"/>
      <c r="J13991" s="199"/>
    </row>
    <row r="13992" spans="9:10" x14ac:dyDescent="0.25">
      <c r="I13992" s="199"/>
      <c r="J13992" s="199"/>
    </row>
    <row r="13993" spans="9:10" x14ac:dyDescent="0.25">
      <c r="I13993" s="199"/>
      <c r="J13993" s="199"/>
    </row>
    <row r="13994" spans="9:10" x14ac:dyDescent="0.25">
      <c r="I13994" s="199"/>
      <c r="J13994" s="199"/>
    </row>
    <row r="13995" spans="9:10" x14ac:dyDescent="0.25">
      <c r="I13995" s="199"/>
      <c r="J13995" s="199"/>
    </row>
    <row r="13996" spans="9:10" x14ac:dyDescent="0.25">
      <c r="I13996" s="199"/>
      <c r="J13996" s="199"/>
    </row>
    <row r="13997" spans="9:10" x14ac:dyDescent="0.25">
      <c r="I13997" s="199"/>
      <c r="J13997" s="199"/>
    </row>
    <row r="13998" spans="9:10" x14ac:dyDescent="0.25">
      <c r="I13998" s="199"/>
      <c r="J13998" s="199"/>
    </row>
    <row r="13999" spans="9:10" x14ac:dyDescent="0.25">
      <c r="I13999" s="199"/>
      <c r="J13999" s="199"/>
    </row>
    <row r="14000" spans="9:10" x14ac:dyDescent="0.25">
      <c r="I14000" s="199"/>
      <c r="J14000" s="199"/>
    </row>
    <row r="14001" spans="9:10" x14ac:dyDescent="0.25">
      <c r="I14001" s="199"/>
      <c r="J14001" s="199"/>
    </row>
    <row r="14002" spans="9:10" x14ac:dyDescent="0.25">
      <c r="I14002" s="199"/>
      <c r="J14002" s="199"/>
    </row>
    <row r="14003" spans="9:10" x14ac:dyDescent="0.25">
      <c r="I14003" s="199"/>
      <c r="J14003" s="199"/>
    </row>
    <row r="14004" spans="9:10" x14ac:dyDescent="0.25">
      <c r="I14004" s="199"/>
      <c r="J14004" s="199"/>
    </row>
    <row r="14005" spans="9:10" x14ac:dyDescent="0.25">
      <c r="I14005" s="199"/>
      <c r="J14005" s="199"/>
    </row>
    <row r="14006" spans="9:10" x14ac:dyDescent="0.25">
      <c r="I14006" s="199"/>
      <c r="J14006" s="199"/>
    </row>
    <row r="14007" spans="9:10" x14ac:dyDescent="0.25">
      <c r="I14007" s="199"/>
      <c r="J14007" s="199"/>
    </row>
    <row r="14008" spans="9:10" x14ac:dyDescent="0.25">
      <c r="I14008" s="199"/>
      <c r="J14008" s="199"/>
    </row>
    <row r="14009" spans="9:10" x14ac:dyDescent="0.25">
      <c r="I14009" s="199"/>
      <c r="J14009" s="199"/>
    </row>
    <row r="14010" spans="9:10" x14ac:dyDescent="0.25">
      <c r="I14010" s="199"/>
      <c r="J14010" s="199"/>
    </row>
    <row r="14011" spans="9:10" x14ac:dyDescent="0.25">
      <c r="I14011" s="199"/>
      <c r="J14011" s="199"/>
    </row>
    <row r="14012" spans="9:10" x14ac:dyDescent="0.25">
      <c r="I14012" s="199"/>
      <c r="J14012" s="199"/>
    </row>
    <row r="14013" spans="9:10" x14ac:dyDescent="0.25">
      <c r="I14013" s="199"/>
      <c r="J14013" s="199"/>
    </row>
    <row r="14014" spans="9:10" x14ac:dyDescent="0.25">
      <c r="I14014" s="199"/>
      <c r="J14014" s="199"/>
    </row>
    <row r="14015" spans="9:10" x14ac:dyDescent="0.25">
      <c r="I14015" s="199"/>
      <c r="J14015" s="199"/>
    </row>
    <row r="14016" spans="9:10" x14ac:dyDescent="0.25">
      <c r="I14016" s="199"/>
      <c r="J14016" s="199"/>
    </row>
    <row r="14017" spans="9:10" x14ac:dyDescent="0.25">
      <c r="I14017" s="199"/>
      <c r="J14017" s="199"/>
    </row>
    <row r="14018" spans="9:10" x14ac:dyDescent="0.25">
      <c r="I14018" s="199"/>
      <c r="J14018" s="199"/>
    </row>
    <row r="14019" spans="9:10" x14ac:dyDescent="0.25">
      <c r="I14019" s="199"/>
      <c r="J14019" s="199"/>
    </row>
    <row r="14020" spans="9:10" x14ac:dyDescent="0.25">
      <c r="I14020" s="199"/>
      <c r="J14020" s="199"/>
    </row>
    <row r="14021" spans="9:10" x14ac:dyDescent="0.25">
      <c r="I14021" s="199"/>
      <c r="J14021" s="199"/>
    </row>
    <row r="14022" spans="9:10" x14ac:dyDescent="0.25">
      <c r="I14022" s="199"/>
      <c r="J14022" s="199"/>
    </row>
    <row r="14023" spans="9:10" x14ac:dyDescent="0.25">
      <c r="I14023" s="199"/>
      <c r="J14023" s="199"/>
    </row>
    <row r="14024" spans="9:10" x14ac:dyDescent="0.25">
      <c r="I14024" s="199"/>
      <c r="J14024" s="199"/>
    </row>
    <row r="14025" spans="9:10" x14ac:dyDescent="0.25">
      <c r="I14025" s="199"/>
      <c r="J14025" s="199"/>
    </row>
    <row r="14026" spans="9:10" x14ac:dyDescent="0.25">
      <c r="I14026" s="199"/>
      <c r="J14026" s="199"/>
    </row>
    <row r="14027" spans="9:10" x14ac:dyDescent="0.25">
      <c r="I14027" s="199"/>
      <c r="J14027" s="199"/>
    </row>
    <row r="14028" spans="9:10" x14ac:dyDescent="0.25">
      <c r="I14028" s="199"/>
      <c r="J14028" s="199"/>
    </row>
    <row r="14029" spans="9:10" x14ac:dyDescent="0.25">
      <c r="I14029" s="199"/>
      <c r="J14029" s="199"/>
    </row>
    <row r="14030" spans="9:10" x14ac:dyDescent="0.25">
      <c r="I14030" s="199"/>
      <c r="J14030" s="199"/>
    </row>
    <row r="14031" spans="9:10" x14ac:dyDescent="0.25">
      <c r="I14031" s="199"/>
      <c r="J14031" s="199"/>
    </row>
    <row r="14032" spans="9:10" x14ac:dyDescent="0.25">
      <c r="I14032" s="199"/>
      <c r="J14032" s="199"/>
    </row>
    <row r="14033" spans="9:10" x14ac:dyDescent="0.25">
      <c r="I14033" s="199"/>
      <c r="J14033" s="199"/>
    </row>
    <row r="14034" spans="9:10" x14ac:dyDescent="0.25">
      <c r="I14034" s="199"/>
      <c r="J14034" s="199"/>
    </row>
    <row r="14035" spans="9:10" x14ac:dyDescent="0.25">
      <c r="I14035" s="199"/>
      <c r="J14035" s="199"/>
    </row>
    <row r="14036" spans="9:10" x14ac:dyDescent="0.25">
      <c r="I14036" s="199"/>
      <c r="J14036" s="199"/>
    </row>
    <row r="14037" spans="9:10" x14ac:dyDescent="0.25">
      <c r="I14037" s="199"/>
      <c r="J14037" s="199"/>
    </row>
    <row r="14038" spans="9:10" x14ac:dyDescent="0.25">
      <c r="I14038" s="199"/>
      <c r="J14038" s="199"/>
    </row>
    <row r="14039" spans="9:10" x14ac:dyDescent="0.25">
      <c r="I14039" s="199"/>
      <c r="J14039" s="199"/>
    </row>
    <row r="14040" spans="9:10" x14ac:dyDescent="0.25">
      <c r="I14040" s="199"/>
      <c r="J14040" s="199"/>
    </row>
    <row r="14041" spans="9:10" x14ac:dyDescent="0.25">
      <c r="I14041" s="199"/>
      <c r="J14041" s="199"/>
    </row>
    <row r="14042" spans="9:10" x14ac:dyDescent="0.25">
      <c r="I14042" s="199"/>
      <c r="J14042" s="199"/>
    </row>
    <row r="14043" spans="9:10" x14ac:dyDescent="0.25">
      <c r="I14043" s="199"/>
      <c r="J14043" s="199"/>
    </row>
    <row r="14044" spans="9:10" x14ac:dyDescent="0.25">
      <c r="I14044" s="199"/>
      <c r="J14044" s="199"/>
    </row>
    <row r="14045" spans="9:10" x14ac:dyDescent="0.25">
      <c r="I14045" s="199"/>
      <c r="J14045" s="199"/>
    </row>
    <row r="14046" spans="9:10" x14ac:dyDescent="0.25">
      <c r="I14046" s="199"/>
      <c r="J14046" s="199"/>
    </row>
    <row r="14047" spans="9:10" x14ac:dyDescent="0.25">
      <c r="I14047" s="199"/>
      <c r="J14047" s="199"/>
    </row>
    <row r="14048" spans="9:10" x14ac:dyDescent="0.25">
      <c r="I14048" s="199"/>
      <c r="J14048" s="199"/>
    </row>
    <row r="14049" spans="9:10" x14ac:dyDescent="0.25">
      <c r="I14049" s="199"/>
      <c r="J14049" s="199"/>
    </row>
    <row r="14050" spans="9:10" x14ac:dyDescent="0.25">
      <c r="I14050" s="199"/>
      <c r="J14050" s="199"/>
    </row>
    <row r="14051" spans="9:10" x14ac:dyDescent="0.25">
      <c r="I14051" s="199"/>
      <c r="J14051" s="199"/>
    </row>
    <row r="14052" spans="9:10" x14ac:dyDescent="0.25">
      <c r="I14052" s="199"/>
      <c r="J14052" s="199"/>
    </row>
    <row r="14053" spans="9:10" x14ac:dyDescent="0.25">
      <c r="I14053" s="199"/>
      <c r="J14053" s="199"/>
    </row>
    <row r="14054" spans="9:10" x14ac:dyDescent="0.25">
      <c r="I14054" s="199"/>
      <c r="J14054" s="199"/>
    </row>
    <row r="14055" spans="9:10" x14ac:dyDescent="0.25">
      <c r="I14055" s="199"/>
      <c r="J14055" s="199"/>
    </row>
    <row r="14056" spans="9:10" x14ac:dyDescent="0.25">
      <c r="I14056" s="199"/>
      <c r="J14056" s="199"/>
    </row>
    <row r="14057" spans="9:10" x14ac:dyDescent="0.25">
      <c r="I14057" s="199"/>
      <c r="J14057" s="199"/>
    </row>
    <row r="14058" spans="9:10" x14ac:dyDescent="0.25">
      <c r="I14058" s="199"/>
      <c r="J14058" s="199"/>
    </row>
    <row r="14059" spans="9:10" x14ac:dyDescent="0.25">
      <c r="I14059" s="199"/>
      <c r="J14059" s="199"/>
    </row>
    <row r="14060" spans="9:10" x14ac:dyDescent="0.25">
      <c r="I14060" s="199"/>
      <c r="J14060" s="199"/>
    </row>
    <row r="14061" spans="9:10" x14ac:dyDescent="0.25">
      <c r="I14061" s="199"/>
      <c r="J14061" s="199"/>
    </row>
    <row r="14062" spans="9:10" x14ac:dyDescent="0.25">
      <c r="I14062" s="199"/>
      <c r="J14062" s="199"/>
    </row>
    <row r="14063" spans="9:10" x14ac:dyDescent="0.25">
      <c r="I14063" s="199"/>
      <c r="J14063" s="199"/>
    </row>
    <row r="14064" spans="9:10" x14ac:dyDescent="0.25">
      <c r="I14064" s="199"/>
      <c r="J14064" s="199"/>
    </row>
    <row r="14065" spans="9:10" x14ac:dyDescent="0.25">
      <c r="I14065" s="199"/>
      <c r="J14065" s="199"/>
    </row>
    <row r="14066" spans="9:10" x14ac:dyDescent="0.25">
      <c r="I14066" s="199"/>
      <c r="J14066" s="199"/>
    </row>
    <row r="14067" spans="9:10" x14ac:dyDescent="0.25">
      <c r="I14067" s="199"/>
      <c r="J14067" s="199"/>
    </row>
    <row r="14068" spans="9:10" x14ac:dyDescent="0.25">
      <c r="I14068" s="199"/>
      <c r="J14068" s="199"/>
    </row>
    <row r="14069" spans="9:10" x14ac:dyDescent="0.25">
      <c r="I14069" s="199"/>
      <c r="J14069" s="199"/>
    </row>
    <row r="14070" spans="9:10" x14ac:dyDescent="0.25">
      <c r="I14070" s="199"/>
      <c r="J14070" s="199"/>
    </row>
    <row r="14071" spans="9:10" x14ac:dyDescent="0.25">
      <c r="I14071" s="199"/>
      <c r="J14071" s="199"/>
    </row>
    <row r="14072" spans="9:10" x14ac:dyDescent="0.25">
      <c r="I14072" s="199"/>
      <c r="J14072" s="199"/>
    </row>
    <row r="14073" spans="9:10" x14ac:dyDescent="0.25">
      <c r="I14073" s="199"/>
      <c r="J14073" s="199"/>
    </row>
    <row r="14074" spans="9:10" x14ac:dyDescent="0.25">
      <c r="I14074" s="199"/>
      <c r="J14074" s="199"/>
    </row>
    <row r="14075" spans="9:10" x14ac:dyDescent="0.25">
      <c r="I14075" s="199"/>
      <c r="J14075" s="199"/>
    </row>
    <row r="14076" spans="9:10" x14ac:dyDescent="0.25">
      <c r="I14076" s="199"/>
      <c r="J14076" s="199"/>
    </row>
    <row r="14077" spans="9:10" x14ac:dyDescent="0.25">
      <c r="I14077" s="199"/>
      <c r="J14077" s="199"/>
    </row>
    <row r="14078" spans="9:10" x14ac:dyDescent="0.25">
      <c r="I14078" s="199"/>
      <c r="J14078" s="199"/>
    </row>
    <row r="14079" spans="9:10" x14ac:dyDescent="0.25">
      <c r="I14079" s="199"/>
      <c r="J14079" s="199"/>
    </row>
    <row r="14080" spans="9:10" x14ac:dyDescent="0.25">
      <c r="I14080" s="199"/>
      <c r="J14080" s="199"/>
    </row>
    <row r="14081" spans="9:10" x14ac:dyDescent="0.25">
      <c r="I14081" s="199"/>
      <c r="J14081" s="199"/>
    </row>
    <row r="14082" spans="9:10" x14ac:dyDescent="0.25">
      <c r="I14082" s="199"/>
      <c r="J14082" s="199"/>
    </row>
    <row r="14083" spans="9:10" x14ac:dyDescent="0.25">
      <c r="I14083" s="199"/>
      <c r="J14083" s="199"/>
    </row>
    <row r="14084" spans="9:10" x14ac:dyDescent="0.25">
      <c r="I14084" s="199"/>
      <c r="J14084" s="199"/>
    </row>
    <row r="14085" spans="9:10" x14ac:dyDescent="0.25">
      <c r="I14085" s="199"/>
      <c r="J14085" s="199"/>
    </row>
    <row r="14086" spans="9:10" x14ac:dyDescent="0.25">
      <c r="I14086" s="199"/>
      <c r="J14086" s="199"/>
    </row>
    <row r="14087" spans="9:10" x14ac:dyDescent="0.25">
      <c r="I14087" s="199"/>
      <c r="J14087" s="199"/>
    </row>
    <row r="14088" spans="9:10" x14ac:dyDescent="0.25">
      <c r="I14088" s="199"/>
      <c r="J14088" s="199"/>
    </row>
    <row r="14089" spans="9:10" x14ac:dyDescent="0.25">
      <c r="I14089" s="199"/>
      <c r="J14089" s="199"/>
    </row>
    <row r="14090" spans="9:10" x14ac:dyDescent="0.25">
      <c r="I14090" s="199"/>
      <c r="J14090" s="199"/>
    </row>
    <row r="14091" spans="9:10" x14ac:dyDescent="0.25">
      <c r="I14091" s="199"/>
      <c r="J14091" s="199"/>
    </row>
    <row r="14092" spans="9:10" x14ac:dyDescent="0.25">
      <c r="I14092" s="199"/>
      <c r="J14092" s="199"/>
    </row>
    <row r="14093" spans="9:10" x14ac:dyDescent="0.25">
      <c r="I14093" s="199"/>
      <c r="J14093" s="199"/>
    </row>
    <row r="14094" spans="9:10" x14ac:dyDescent="0.25">
      <c r="I14094" s="199"/>
      <c r="J14094" s="199"/>
    </row>
    <row r="14095" spans="9:10" x14ac:dyDescent="0.25">
      <c r="I14095" s="199"/>
      <c r="J14095" s="199"/>
    </row>
    <row r="14096" spans="9:10" x14ac:dyDescent="0.25">
      <c r="I14096" s="199"/>
      <c r="J14096" s="199"/>
    </row>
    <row r="14097" spans="9:10" x14ac:dyDescent="0.25">
      <c r="I14097" s="199"/>
      <c r="J14097" s="199"/>
    </row>
    <row r="14098" spans="9:10" x14ac:dyDescent="0.25">
      <c r="I14098" s="199"/>
      <c r="J14098" s="199"/>
    </row>
    <row r="14099" spans="9:10" x14ac:dyDescent="0.25">
      <c r="I14099" s="199"/>
      <c r="J14099" s="199"/>
    </row>
    <row r="14100" spans="9:10" x14ac:dyDescent="0.25">
      <c r="I14100" s="199"/>
      <c r="J14100" s="199"/>
    </row>
    <row r="14101" spans="9:10" x14ac:dyDescent="0.25">
      <c r="I14101" s="199"/>
      <c r="J14101" s="199"/>
    </row>
    <row r="14102" spans="9:10" x14ac:dyDescent="0.25">
      <c r="I14102" s="199"/>
      <c r="J14102" s="199"/>
    </row>
    <row r="14103" spans="9:10" x14ac:dyDescent="0.25">
      <c r="I14103" s="199"/>
      <c r="J14103" s="199"/>
    </row>
    <row r="14104" spans="9:10" x14ac:dyDescent="0.25">
      <c r="I14104" s="199"/>
      <c r="J14104" s="199"/>
    </row>
    <row r="14105" spans="9:10" x14ac:dyDescent="0.25">
      <c r="I14105" s="199"/>
      <c r="J14105" s="199"/>
    </row>
    <row r="14106" spans="9:10" x14ac:dyDescent="0.25">
      <c r="I14106" s="199"/>
      <c r="J14106" s="199"/>
    </row>
    <row r="14107" spans="9:10" x14ac:dyDescent="0.25">
      <c r="I14107" s="199"/>
      <c r="J14107" s="199"/>
    </row>
    <row r="14108" spans="9:10" x14ac:dyDescent="0.25">
      <c r="I14108" s="199"/>
      <c r="J14108" s="199"/>
    </row>
    <row r="14109" spans="9:10" x14ac:dyDescent="0.25">
      <c r="I14109" s="199"/>
      <c r="J14109" s="199"/>
    </row>
    <row r="14110" spans="9:10" x14ac:dyDescent="0.25">
      <c r="I14110" s="199"/>
      <c r="J14110" s="199"/>
    </row>
    <row r="14111" spans="9:10" x14ac:dyDescent="0.25">
      <c r="I14111" s="199"/>
      <c r="J14111" s="199"/>
    </row>
    <row r="14112" spans="9:10" x14ac:dyDescent="0.25">
      <c r="I14112" s="199"/>
      <c r="J14112" s="199"/>
    </row>
    <row r="14113" spans="9:10" x14ac:dyDescent="0.25">
      <c r="I14113" s="199"/>
      <c r="J14113" s="199"/>
    </row>
    <row r="14114" spans="9:10" x14ac:dyDescent="0.25">
      <c r="I14114" s="199"/>
      <c r="J14114" s="199"/>
    </row>
    <row r="14115" spans="9:10" x14ac:dyDescent="0.25">
      <c r="I14115" s="199"/>
      <c r="J14115" s="199"/>
    </row>
    <row r="14116" spans="9:10" x14ac:dyDescent="0.25">
      <c r="I14116" s="199"/>
      <c r="J14116" s="199"/>
    </row>
    <row r="14117" spans="9:10" x14ac:dyDescent="0.25">
      <c r="I14117" s="199"/>
      <c r="J14117" s="199"/>
    </row>
    <row r="14118" spans="9:10" x14ac:dyDescent="0.25">
      <c r="I14118" s="199"/>
      <c r="J14118" s="199"/>
    </row>
    <row r="14119" spans="9:10" x14ac:dyDescent="0.25">
      <c r="I14119" s="199"/>
      <c r="J14119" s="199"/>
    </row>
    <row r="14120" spans="9:10" x14ac:dyDescent="0.25">
      <c r="I14120" s="199"/>
      <c r="J14120" s="199"/>
    </row>
    <row r="14121" spans="9:10" x14ac:dyDescent="0.25">
      <c r="I14121" s="199"/>
      <c r="J14121" s="199"/>
    </row>
    <row r="14122" spans="9:10" x14ac:dyDescent="0.25">
      <c r="I14122" s="199"/>
      <c r="J14122" s="199"/>
    </row>
    <row r="14123" spans="9:10" x14ac:dyDescent="0.25">
      <c r="I14123" s="199"/>
      <c r="J14123" s="199"/>
    </row>
    <row r="14124" spans="9:10" x14ac:dyDescent="0.25">
      <c r="I14124" s="199"/>
      <c r="J14124" s="199"/>
    </row>
    <row r="14125" spans="9:10" x14ac:dyDescent="0.25">
      <c r="I14125" s="199"/>
      <c r="J14125" s="199"/>
    </row>
    <row r="14126" spans="9:10" x14ac:dyDescent="0.25">
      <c r="I14126" s="199"/>
      <c r="J14126" s="199"/>
    </row>
    <row r="14127" spans="9:10" x14ac:dyDescent="0.25">
      <c r="I14127" s="199"/>
      <c r="J14127" s="199"/>
    </row>
    <row r="14128" spans="9:10" x14ac:dyDescent="0.25">
      <c r="I14128" s="199"/>
      <c r="J14128" s="199"/>
    </row>
    <row r="14129" spans="9:10" x14ac:dyDescent="0.25">
      <c r="I14129" s="199"/>
      <c r="J14129" s="199"/>
    </row>
    <row r="14130" spans="9:10" x14ac:dyDescent="0.25">
      <c r="I14130" s="199"/>
      <c r="J14130" s="199"/>
    </row>
    <row r="14131" spans="9:10" x14ac:dyDescent="0.25">
      <c r="I14131" s="199"/>
      <c r="J14131" s="199"/>
    </row>
    <row r="14132" spans="9:10" x14ac:dyDescent="0.25">
      <c r="I14132" s="199"/>
      <c r="J14132" s="199"/>
    </row>
    <row r="14133" spans="9:10" x14ac:dyDescent="0.25">
      <c r="I14133" s="199"/>
      <c r="J14133" s="199"/>
    </row>
    <row r="14134" spans="9:10" x14ac:dyDescent="0.25">
      <c r="I14134" s="199"/>
      <c r="J14134" s="199"/>
    </row>
    <row r="14135" spans="9:10" x14ac:dyDescent="0.25">
      <c r="I14135" s="199"/>
      <c r="J14135" s="199"/>
    </row>
    <row r="14136" spans="9:10" x14ac:dyDescent="0.25">
      <c r="I14136" s="199"/>
      <c r="J14136" s="199"/>
    </row>
    <row r="14137" spans="9:10" x14ac:dyDescent="0.25">
      <c r="I14137" s="199"/>
      <c r="J14137" s="199"/>
    </row>
    <row r="14138" spans="9:10" x14ac:dyDescent="0.25">
      <c r="I14138" s="199"/>
      <c r="J14138" s="199"/>
    </row>
    <row r="14139" spans="9:10" x14ac:dyDescent="0.25">
      <c r="I14139" s="199"/>
      <c r="J14139" s="199"/>
    </row>
    <row r="14140" spans="9:10" x14ac:dyDescent="0.25">
      <c r="I14140" s="199"/>
      <c r="J14140" s="199"/>
    </row>
    <row r="14141" spans="9:10" x14ac:dyDescent="0.25">
      <c r="I14141" s="199"/>
      <c r="J14141" s="199"/>
    </row>
    <row r="14142" spans="9:10" x14ac:dyDescent="0.25">
      <c r="I14142" s="199"/>
      <c r="J14142" s="199"/>
    </row>
    <row r="14143" spans="9:10" x14ac:dyDescent="0.25">
      <c r="I14143" s="199"/>
      <c r="J14143" s="199"/>
    </row>
    <row r="14144" spans="9:10" x14ac:dyDescent="0.25">
      <c r="I14144" s="199"/>
      <c r="J14144" s="199"/>
    </row>
    <row r="14145" spans="9:10" x14ac:dyDescent="0.25">
      <c r="I14145" s="199"/>
      <c r="J14145" s="199"/>
    </row>
    <row r="14146" spans="9:10" x14ac:dyDescent="0.25">
      <c r="I14146" s="199"/>
      <c r="J14146" s="199"/>
    </row>
    <row r="14147" spans="9:10" x14ac:dyDescent="0.25">
      <c r="I14147" s="199"/>
      <c r="J14147" s="199"/>
    </row>
    <row r="14148" spans="9:10" x14ac:dyDescent="0.25">
      <c r="I14148" s="199"/>
      <c r="J14148" s="199"/>
    </row>
    <row r="14149" spans="9:10" x14ac:dyDescent="0.25">
      <c r="I14149" s="199"/>
      <c r="J14149" s="199"/>
    </row>
    <row r="14150" spans="9:10" x14ac:dyDescent="0.25">
      <c r="I14150" s="199"/>
      <c r="J14150" s="199"/>
    </row>
    <row r="14151" spans="9:10" x14ac:dyDescent="0.25">
      <c r="I14151" s="199"/>
      <c r="J14151" s="199"/>
    </row>
    <row r="14152" spans="9:10" x14ac:dyDescent="0.25">
      <c r="I14152" s="199"/>
      <c r="J14152" s="199"/>
    </row>
    <row r="14153" spans="9:10" x14ac:dyDescent="0.25">
      <c r="I14153" s="199"/>
      <c r="J14153" s="199"/>
    </row>
    <row r="14154" spans="9:10" x14ac:dyDescent="0.25">
      <c r="I14154" s="199"/>
      <c r="J14154" s="199"/>
    </row>
    <row r="14155" spans="9:10" x14ac:dyDescent="0.25">
      <c r="I14155" s="199"/>
      <c r="J14155" s="199"/>
    </row>
    <row r="14156" spans="9:10" x14ac:dyDescent="0.25">
      <c r="I14156" s="199"/>
      <c r="J14156" s="199"/>
    </row>
    <row r="14157" spans="9:10" x14ac:dyDescent="0.25">
      <c r="I14157" s="199"/>
      <c r="J14157" s="199"/>
    </row>
    <row r="14158" spans="9:10" x14ac:dyDescent="0.25">
      <c r="I14158" s="199"/>
      <c r="J14158" s="199"/>
    </row>
    <row r="14159" spans="9:10" x14ac:dyDescent="0.25">
      <c r="I14159" s="199"/>
      <c r="J14159" s="199"/>
    </row>
    <row r="14160" spans="9:10" x14ac:dyDescent="0.25">
      <c r="I14160" s="199"/>
      <c r="J14160" s="199"/>
    </row>
    <row r="14161" spans="9:10" x14ac:dyDescent="0.25">
      <c r="I14161" s="199"/>
      <c r="J14161" s="199"/>
    </row>
    <row r="14162" spans="9:10" x14ac:dyDescent="0.25">
      <c r="I14162" s="199"/>
      <c r="J14162" s="199"/>
    </row>
    <row r="14163" spans="9:10" x14ac:dyDescent="0.25">
      <c r="I14163" s="199"/>
      <c r="J14163" s="199"/>
    </row>
    <row r="14164" spans="9:10" x14ac:dyDescent="0.25">
      <c r="I14164" s="199"/>
      <c r="J14164" s="199"/>
    </row>
    <row r="14165" spans="9:10" x14ac:dyDescent="0.25">
      <c r="I14165" s="199"/>
      <c r="J14165" s="199"/>
    </row>
    <row r="14166" spans="9:10" x14ac:dyDescent="0.25">
      <c r="I14166" s="199"/>
      <c r="J14166" s="199"/>
    </row>
    <row r="14167" spans="9:10" x14ac:dyDescent="0.25">
      <c r="I14167" s="199"/>
      <c r="J14167" s="199"/>
    </row>
    <row r="14168" spans="9:10" x14ac:dyDescent="0.25">
      <c r="I14168" s="199"/>
      <c r="J14168" s="199"/>
    </row>
    <row r="14169" spans="9:10" x14ac:dyDescent="0.25">
      <c r="I14169" s="199"/>
      <c r="J14169" s="199"/>
    </row>
    <row r="14170" spans="9:10" x14ac:dyDescent="0.25">
      <c r="I14170" s="199"/>
      <c r="J14170" s="199"/>
    </row>
    <row r="14171" spans="9:10" x14ac:dyDescent="0.25">
      <c r="I14171" s="199"/>
      <c r="J14171" s="199"/>
    </row>
    <row r="14172" spans="9:10" x14ac:dyDescent="0.25">
      <c r="I14172" s="199"/>
      <c r="J14172" s="199"/>
    </row>
    <row r="14173" spans="9:10" x14ac:dyDescent="0.25">
      <c r="I14173" s="199"/>
      <c r="J14173" s="199"/>
    </row>
    <row r="14174" spans="9:10" x14ac:dyDescent="0.25">
      <c r="I14174" s="199"/>
      <c r="J14174" s="199"/>
    </row>
    <row r="14175" spans="9:10" x14ac:dyDescent="0.25">
      <c r="I14175" s="199"/>
      <c r="J14175" s="199"/>
    </row>
    <row r="14176" spans="9:10" x14ac:dyDescent="0.25">
      <c r="I14176" s="199"/>
      <c r="J14176" s="199"/>
    </row>
    <row r="14177" spans="9:10" x14ac:dyDescent="0.25">
      <c r="I14177" s="199"/>
      <c r="J14177" s="199"/>
    </row>
    <row r="14178" spans="9:10" x14ac:dyDescent="0.25">
      <c r="I14178" s="199"/>
      <c r="J14178" s="199"/>
    </row>
    <row r="14179" spans="9:10" x14ac:dyDescent="0.25">
      <c r="I14179" s="199"/>
      <c r="J14179" s="199"/>
    </row>
    <row r="14180" spans="9:10" x14ac:dyDescent="0.25">
      <c r="I14180" s="199"/>
      <c r="J14180" s="199"/>
    </row>
    <row r="14181" spans="9:10" x14ac:dyDescent="0.25">
      <c r="I14181" s="199"/>
      <c r="J14181" s="199"/>
    </row>
    <row r="14182" spans="9:10" x14ac:dyDescent="0.25">
      <c r="I14182" s="199"/>
      <c r="J14182" s="199"/>
    </row>
    <row r="14183" spans="9:10" x14ac:dyDescent="0.25">
      <c r="I14183" s="199"/>
      <c r="J14183" s="199"/>
    </row>
    <row r="14184" spans="9:10" x14ac:dyDescent="0.25">
      <c r="I14184" s="199"/>
      <c r="J14184" s="199"/>
    </row>
    <row r="14185" spans="9:10" x14ac:dyDescent="0.25">
      <c r="I14185" s="199"/>
      <c r="J14185" s="199"/>
    </row>
    <row r="14186" spans="9:10" x14ac:dyDescent="0.25">
      <c r="I14186" s="199"/>
      <c r="J14186" s="199"/>
    </row>
    <row r="14187" spans="9:10" x14ac:dyDescent="0.25">
      <c r="I14187" s="199"/>
      <c r="J14187" s="199"/>
    </row>
    <row r="14188" spans="9:10" x14ac:dyDescent="0.25">
      <c r="I14188" s="199"/>
      <c r="J14188" s="199"/>
    </row>
    <row r="14189" spans="9:10" x14ac:dyDescent="0.25">
      <c r="I14189" s="199"/>
      <c r="J14189" s="199"/>
    </row>
    <row r="14190" spans="9:10" x14ac:dyDescent="0.25">
      <c r="I14190" s="199"/>
      <c r="J14190" s="199"/>
    </row>
    <row r="14191" spans="9:10" x14ac:dyDescent="0.25">
      <c r="I14191" s="199"/>
      <c r="J14191" s="199"/>
    </row>
    <row r="14192" spans="9:10" x14ac:dyDescent="0.25">
      <c r="I14192" s="199"/>
      <c r="J14192" s="199"/>
    </row>
    <row r="14193" spans="9:10" x14ac:dyDescent="0.25">
      <c r="I14193" s="199"/>
      <c r="J14193" s="199"/>
    </row>
    <row r="14194" spans="9:10" x14ac:dyDescent="0.25">
      <c r="I14194" s="199"/>
      <c r="J14194" s="199"/>
    </row>
    <row r="14195" spans="9:10" x14ac:dyDescent="0.25">
      <c r="I14195" s="199"/>
      <c r="J14195" s="199"/>
    </row>
    <row r="14196" spans="9:10" x14ac:dyDescent="0.25">
      <c r="I14196" s="199"/>
      <c r="J14196" s="199"/>
    </row>
    <row r="14197" spans="9:10" x14ac:dyDescent="0.25">
      <c r="I14197" s="199"/>
      <c r="J14197" s="199"/>
    </row>
    <row r="14198" spans="9:10" x14ac:dyDescent="0.25">
      <c r="I14198" s="199"/>
      <c r="J14198" s="199"/>
    </row>
    <row r="14199" spans="9:10" x14ac:dyDescent="0.25">
      <c r="I14199" s="199"/>
      <c r="J14199" s="199"/>
    </row>
    <row r="14200" spans="9:10" x14ac:dyDescent="0.25">
      <c r="I14200" s="199"/>
      <c r="J14200" s="199"/>
    </row>
    <row r="14201" spans="9:10" x14ac:dyDescent="0.25">
      <c r="I14201" s="199"/>
      <c r="J14201" s="199"/>
    </row>
    <row r="14202" spans="9:10" x14ac:dyDescent="0.25">
      <c r="I14202" s="199"/>
      <c r="J14202" s="199"/>
    </row>
    <row r="14203" spans="9:10" x14ac:dyDescent="0.25">
      <c r="I14203" s="199"/>
      <c r="J14203" s="199"/>
    </row>
    <row r="14204" spans="9:10" x14ac:dyDescent="0.25">
      <c r="I14204" s="199"/>
      <c r="J14204" s="199"/>
    </row>
    <row r="14205" spans="9:10" x14ac:dyDescent="0.25">
      <c r="I14205" s="199"/>
      <c r="J14205" s="199"/>
    </row>
    <row r="14206" spans="9:10" x14ac:dyDescent="0.25">
      <c r="I14206" s="199"/>
      <c r="J14206" s="199"/>
    </row>
    <row r="14207" spans="9:10" x14ac:dyDescent="0.25">
      <c r="I14207" s="199"/>
      <c r="J14207" s="199"/>
    </row>
    <row r="14208" spans="9:10" x14ac:dyDescent="0.25">
      <c r="I14208" s="199"/>
      <c r="J14208" s="199"/>
    </row>
    <row r="14209" spans="9:10" x14ac:dyDescent="0.25">
      <c r="I14209" s="199"/>
      <c r="J14209" s="199"/>
    </row>
    <row r="14210" spans="9:10" x14ac:dyDescent="0.25">
      <c r="I14210" s="199"/>
      <c r="J14210" s="199"/>
    </row>
    <row r="14211" spans="9:10" x14ac:dyDescent="0.25">
      <c r="I14211" s="199"/>
      <c r="J14211" s="199"/>
    </row>
    <row r="14212" spans="9:10" x14ac:dyDescent="0.25">
      <c r="I14212" s="199"/>
      <c r="J14212" s="199"/>
    </row>
    <row r="14213" spans="9:10" x14ac:dyDescent="0.25">
      <c r="I14213" s="199"/>
      <c r="J14213" s="199"/>
    </row>
    <row r="14214" spans="9:10" x14ac:dyDescent="0.25">
      <c r="I14214" s="199"/>
      <c r="J14214" s="199"/>
    </row>
    <row r="14215" spans="9:10" x14ac:dyDescent="0.25">
      <c r="I14215" s="199"/>
      <c r="J14215" s="199"/>
    </row>
    <row r="14216" spans="9:10" x14ac:dyDescent="0.25">
      <c r="I14216" s="199"/>
      <c r="J14216" s="199"/>
    </row>
    <row r="14217" spans="9:10" x14ac:dyDescent="0.25">
      <c r="I14217" s="199"/>
      <c r="J14217" s="199"/>
    </row>
    <row r="14218" spans="9:10" x14ac:dyDescent="0.25">
      <c r="I14218" s="199"/>
      <c r="J14218" s="199"/>
    </row>
    <row r="14219" spans="9:10" x14ac:dyDescent="0.25">
      <c r="I14219" s="199"/>
      <c r="J14219" s="199"/>
    </row>
    <row r="14220" spans="9:10" x14ac:dyDescent="0.25">
      <c r="I14220" s="199"/>
      <c r="J14220" s="199"/>
    </row>
    <row r="14221" spans="9:10" x14ac:dyDescent="0.25">
      <c r="I14221" s="199"/>
      <c r="J14221" s="199"/>
    </row>
    <row r="14222" spans="9:10" x14ac:dyDescent="0.25">
      <c r="I14222" s="199"/>
      <c r="J14222" s="199"/>
    </row>
    <row r="14223" spans="9:10" x14ac:dyDescent="0.25">
      <c r="I14223" s="199"/>
      <c r="J14223" s="199"/>
    </row>
    <row r="14224" spans="9:10" x14ac:dyDescent="0.25">
      <c r="I14224" s="199"/>
      <c r="J14224" s="199"/>
    </row>
    <row r="14225" spans="9:10" x14ac:dyDescent="0.25">
      <c r="I14225" s="199"/>
      <c r="J14225" s="199"/>
    </row>
    <row r="14226" spans="9:10" x14ac:dyDescent="0.25">
      <c r="I14226" s="199"/>
      <c r="J14226" s="199"/>
    </row>
    <row r="14227" spans="9:10" x14ac:dyDescent="0.25">
      <c r="I14227" s="199"/>
      <c r="J14227" s="199"/>
    </row>
    <row r="14228" spans="9:10" x14ac:dyDescent="0.25">
      <c r="I14228" s="199"/>
      <c r="J14228" s="199"/>
    </row>
    <row r="14229" spans="9:10" x14ac:dyDescent="0.25">
      <c r="I14229" s="199"/>
      <c r="J14229" s="199"/>
    </row>
    <row r="14230" spans="9:10" x14ac:dyDescent="0.25">
      <c r="I14230" s="199"/>
      <c r="J14230" s="199"/>
    </row>
    <row r="14231" spans="9:10" x14ac:dyDescent="0.25">
      <c r="I14231" s="199"/>
      <c r="J14231" s="199"/>
    </row>
    <row r="14232" spans="9:10" x14ac:dyDescent="0.25">
      <c r="I14232" s="199"/>
      <c r="J14232" s="199"/>
    </row>
    <row r="14233" spans="9:10" x14ac:dyDescent="0.25">
      <c r="I14233" s="199"/>
      <c r="J14233" s="199"/>
    </row>
    <row r="14234" spans="9:10" x14ac:dyDescent="0.25">
      <c r="I14234" s="199"/>
      <c r="J14234" s="199"/>
    </row>
    <row r="14235" spans="9:10" x14ac:dyDescent="0.25">
      <c r="I14235" s="199"/>
      <c r="J14235" s="199"/>
    </row>
    <row r="14236" spans="9:10" x14ac:dyDescent="0.25">
      <c r="I14236" s="199"/>
      <c r="J14236" s="199"/>
    </row>
    <row r="14237" spans="9:10" x14ac:dyDescent="0.25">
      <c r="I14237" s="199"/>
      <c r="J14237" s="199"/>
    </row>
    <row r="14238" spans="9:10" x14ac:dyDescent="0.25">
      <c r="I14238" s="199"/>
      <c r="J14238" s="199"/>
    </row>
    <row r="14239" spans="9:10" x14ac:dyDescent="0.25">
      <c r="I14239" s="199"/>
      <c r="J14239" s="199"/>
    </row>
    <row r="14240" spans="9:10" x14ac:dyDescent="0.25">
      <c r="I14240" s="199"/>
      <c r="J14240" s="199"/>
    </row>
    <row r="14241" spans="9:10" x14ac:dyDescent="0.25">
      <c r="I14241" s="199"/>
      <c r="J14241" s="199"/>
    </row>
    <row r="14242" spans="9:10" x14ac:dyDescent="0.25">
      <c r="I14242" s="199"/>
      <c r="J14242" s="199"/>
    </row>
    <row r="14243" spans="9:10" x14ac:dyDescent="0.25">
      <c r="I14243" s="199"/>
      <c r="J14243" s="199"/>
    </row>
    <row r="14244" spans="9:10" x14ac:dyDescent="0.25">
      <c r="I14244" s="199"/>
      <c r="J14244" s="199"/>
    </row>
    <row r="14245" spans="9:10" x14ac:dyDescent="0.25">
      <c r="I14245" s="199"/>
      <c r="J14245" s="199"/>
    </row>
    <row r="14246" spans="9:10" x14ac:dyDescent="0.25">
      <c r="I14246" s="199"/>
      <c r="J14246" s="199"/>
    </row>
    <row r="14247" spans="9:10" x14ac:dyDescent="0.25">
      <c r="I14247" s="199"/>
      <c r="J14247" s="199"/>
    </row>
    <row r="14248" spans="9:10" x14ac:dyDescent="0.25">
      <c r="I14248" s="199"/>
      <c r="J14248" s="199"/>
    </row>
    <row r="14249" spans="9:10" x14ac:dyDescent="0.25">
      <c r="I14249" s="199"/>
      <c r="J14249" s="199"/>
    </row>
    <row r="14250" spans="9:10" x14ac:dyDescent="0.25">
      <c r="I14250" s="199"/>
      <c r="J14250" s="199"/>
    </row>
    <row r="14251" spans="9:10" x14ac:dyDescent="0.25">
      <c r="I14251" s="199"/>
      <c r="J14251" s="199"/>
    </row>
    <row r="14252" spans="9:10" x14ac:dyDescent="0.25">
      <c r="I14252" s="199"/>
      <c r="J14252" s="199"/>
    </row>
    <row r="14253" spans="9:10" x14ac:dyDescent="0.25">
      <c r="I14253" s="199"/>
      <c r="J14253" s="199"/>
    </row>
    <row r="14254" spans="9:10" x14ac:dyDescent="0.25">
      <c r="I14254" s="199"/>
      <c r="J14254" s="199"/>
    </row>
    <row r="14255" spans="9:10" x14ac:dyDescent="0.25">
      <c r="I14255" s="199"/>
      <c r="J14255" s="199"/>
    </row>
    <row r="14256" spans="9:10" x14ac:dyDescent="0.25">
      <c r="I14256" s="199"/>
      <c r="J14256" s="199"/>
    </row>
    <row r="14257" spans="9:10" x14ac:dyDescent="0.25">
      <c r="I14257" s="199"/>
      <c r="J14257" s="199"/>
    </row>
    <row r="14258" spans="9:10" x14ac:dyDescent="0.25">
      <c r="I14258" s="199"/>
      <c r="J14258" s="199"/>
    </row>
    <row r="14259" spans="9:10" x14ac:dyDescent="0.25">
      <c r="I14259" s="199"/>
      <c r="J14259" s="199"/>
    </row>
    <row r="14260" spans="9:10" x14ac:dyDescent="0.25">
      <c r="I14260" s="199"/>
      <c r="J14260" s="199"/>
    </row>
    <row r="14261" spans="9:10" x14ac:dyDescent="0.25">
      <c r="I14261" s="199"/>
      <c r="J14261" s="199"/>
    </row>
    <row r="14262" spans="9:10" x14ac:dyDescent="0.25">
      <c r="I14262" s="199"/>
      <c r="J14262" s="199"/>
    </row>
    <row r="14263" spans="9:10" x14ac:dyDescent="0.25">
      <c r="I14263" s="199"/>
      <c r="J14263" s="199"/>
    </row>
    <row r="14264" spans="9:10" x14ac:dyDescent="0.25">
      <c r="I14264" s="199"/>
      <c r="J14264" s="199"/>
    </row>
    <row r="14265" spans="9:10" x14ac:dyDescent="0.25">
      <c r="I14265" s="199"/>
      <c r="J14265" s="199"/>
    </row>
    <row r="14266" spans="9:10" x14ac:dyDescent="0.25">
      <c r="I14266" s="199"/>
      <c r="J14266" s="199"/>
    </row>
    <row r="14267" spans="9:10" x14ac:dyDescent="0.25">
      <c r="I14267" s="199"/>
      <c r="J14267" s="199"/>
    </row>
    <row r="14268" spans="9:10" x14ac:dyDescent="0.25">
      <c r="I14268" s="199"/>
      <c r="J14268" s="199"/>
    </row>
    <row r="14269" spans="9:10" x14ac:dyDescent="0.25">
      <c r="I14269" s="199"/>
      <c r="J14269" s="199"/>
    </row>
    <row r="14270" spans="9:10" x14ac:dyDescent="0.25">
      <c r="I14270" s="199"/>
      <c r="J14270" s="199"/>
    </row>
    <row r="14271" spans="9:10" x14ac:dyDescent="0.25">
      <c r="I14271" s="199"/>
      <c r="J14271" s="199"/>
    </row>
    <row r="14272" spans="9:10" x14ac:dyDescent="0.25">
      <c r="I14272" s="199"/>
      <c r="J14272" s="199"/>
    </row>
    <row r="14273" spans="9:10" x14ac:dyDescent="0.25">
      <c r="I14273" s="199"/>
      <c r="J14273" s="199"/>
    </row>
    <row r="14274" spans="9:10" x14ac:dyDescent="0.25">
      <c r="I14274" s="199"/>
      <c r="J14274" s="199"/>
    </row>
    <row r="14275" spans="9:10" x14ac:dyDescent="0.25">
      <c r="I14275" s="199"/>
      <c r="J14275" s="199"/>
    </row>
    <row r="14276" spans="9:10" x14ac:dyDescent="0.25">
      <c r="I14276" s="199"/>
      <c r="J14276" s="199"/>
    </row>
    <row r="14277" spans="9:10" x14ac:dyDescent="0.25">
      <c r="I14277" s="199"/>
      <c r="J14277" s="199"/>
    </row>
    <row r="14278" spans="9:10" x14ac:dyDescent="0.25">
      <c r="I14278" s="199"/>
      <c r="J14278" s="199"/>
    </row>
    <row r="14279" spans="9:10" x14ac:dyDescent="0.25">
      <c r="I14279" s="199"/>
      <c r="J14279" s="199"/>
    </row>
    <row r="14280" spans="9:10" x14ac:dyDescent="0.25">
      <c r="I14280" s="199"/>
      <c r="J14280" s="199"/>
    </row>
    <row r="14281" spans="9:10" x14ac:dyDescent="0.25">
      <c r="I14281" s="199"/>
      <c r="J14281" s="199"/>
    </row>
    <row r="14282" spans="9:10" x14ac:dyDescent="0.25">
      <c r="I14282" s="199"/>
      <c r="J14282" s="199"/>
    </row>
    <row r="14283" spans="9:10" x14ac:dyDescent="0.25">
      <c r="I14283" s="199"/>
      <c r="J14283" s="199"/>
    </row>
    <row r="14284" spans="9:10" x14ac:dyDescent="0.25">
      <c r="I14284" s="199"/>
      <c r="J14284" s="199"/>
    </row>
    <row r="14285" spans="9:10" x14ac:dyDescent="0.25">
      <c r="I14285" s="199"/>
      <c r="J14285" s="199"/>
    </row>
    <row r="14286" spans="9:10" x14ac:dyDescent="0.25">
      <c r="I14286" s="199"/>
      <c r="J14286" s="199"/>
    </row>
    <row r="14287" spans="9:10" x14ac:dyDescent="0.25">
      <c r="I14287" s="199"/>
      <c r="J14287" s="199"/>
    </row>
    <row r="14288" spans="9:10" x14ac:dyDescent="0.25">
      <c r="I14288" s="199"/>
      <c r="J14288" s="199"/>
    </row>
    <row r="14289" spans="9:10" x14ac:dyDescent="0.25">
      <c r="I14289" s="199"/>
      <c r="J14289" s="199"/>
    </row>
    <row r="14290" spans="9:10" x14ac:dyDescent="0.25">
      <c r="I14290" s="199"/>
      <c r="J14290" s="199"/>
    </row>
    <row r="14291" spans="9:10" x14ac:dyDescent="0.25">
      <c r="I14291" s="199"/>
      <c r="J14291" s="199"/>
    </row>
    <row r="14292" spans="9:10" x14ac:dyDescent="0.25">
      <c r="I14292" s="199"/>
      <c r="J14292" s="199"/>
    </row>
    <row r="14293" spans="9:10" x14ac:dyDescent="0.25">
      <c r="I14293" s="199"/>
      <c r="J14293" s="199"/>
    </row>
    <row r="14294" spans="9:10" x14ac:dyDescent="0.25">
      <c r="I14294" s="199"/>
      <c r="J14294" s="199"/>
    </row>
    <row r="14295" spans="9:10" x14ac:dyDescent="0.25">
      <c r="I14295" s="199"/>
      <c r="J14295" s="199"/>
    </row>
    <row r="14296" spans="9:10" x14ac:dyDescent="0.25">
      <c r="I14296" s="199"/>
      <c r="J14296" s="199"/>
    </row>
    <row r="14297" spans="9:10" x14ac:dyDescent="0.25">
      <c r="I14297" s="199"/>
      <c r="J14297" s="199"/>
    </row>
    <row r="14298" spans="9:10" x14ac:dyDescent="0.25">
      <c r="I14298" s="199"/>
      <c r="J14298" s="199"/>
    </row>
    <row r="14299" spans="9:10" x14ac:dyDescent="0.25">
      <c r="I14299" s="199"/>
      <c r="J14299" s="199"/>
    </row>
    <row r="14300" spans="9:10" x14ac:dyDescent="0.25">
      <c r="I14300" s="199"/>
      <c r="J14300" s="199"/>
    </row>
    <row r="14301" spans="9:10" x14ac:dyDescent="0.25">
      <c r="I14301" s="199"/>
      <c r="J14301" s="199"/>
    </row>
    <row r="14302" spans="9:10" x14ac:dyDescent="0.25">
      <c r="I14302" s="199"/>
      <c r="J14302" s="199"/>
    </row>
    <row r="14303" spans="9:10" x14ac:dyDescent="0.25">
      <c r="I14303" s="199"/>
      <c r="J14303" s="199"/>
    </row>
    <row r="14304" spans="9:10" x14ac:dyDescent="0.25">
      <c r="I14304" s="199"/>
      <c r="J14304" s="199"/>
    </row>
    <row r="14305" spans="9:10" x14ac:dyDescent="0.25">
      <c r="I14305" s="199"/>
      <c r="J14305" s="199"/>
    </row>
    <row r="14306" spans="9:10" x14ac:dyDescent="0.25">
      <c r="I14306" s="199"/>
      <c r="J14306" s="199"/>
    </row>
    <row r="14307" spans="9:10" x14ac:dyDescent="0.25">
      <c r="I14307" s="199"/>
      <c r="J14307" s="199"/>
    </row>
    <row r="14308" spans="9:10" x14ac:dyDescent="0.25">
      <c r="I14308" s="199"/>
      <c r="J14308" s="199"/>
    </row>
    <row r="14309" spans="9:10" x14ac:dyDescent="0.25">
      <c r="I14309" s="199"/>
      <c r="J14309" s="199"/>
    </row>
    <row r="14310" spans="9:10" x14ac:dyDescent="0.25">
      <c r="I14310" s="199"/>
      <c r="J14310" s="199"/>
    </row>
    <row r="14311" spans="9:10" x14ac:dyDescent="0.25">
      <c r="I14311" s="199"/>
      <c r="J14311" s="199"/>
    </row>
    <row r="14312" spans="9:10" x14ac:dyDescent="0.25">
      <c r="I14312" s="199"/>
      <c r="J14312" s="199"/>
    </row>
    <row r="14313" spans="9:10" x14ac:dyDescent="0.25">
      <c r="I14313" s="199"/>
      <c r="J14313" s="199"/>
    </row>
    <row r="14314" spans="9:10" x14ac:dyDescent="0.25">
      <c r="I14314" s="199"/>
      <c r="J14314" s="199"/>
    </row>
    <row r="14315" spans="9:10" x14ac:dyDescent="0.25">
      <c r="I14315" s="199"/>
      <c r="J14315" s="199"/>
    </row>
    <row r="14316" spans="9:10" x14ac:dyDescent="0.25">
      <c r="I14316" s="199"/>
      <c r="J14316" s="199"/>
    </row>
    <row r="14317" spans="9:10" x14ac:dyDescent="0.25">
      <c r="I14317" s="199"/>
      <c r="J14317" s="199"/>
    </row>
    <row r="14318" spans="9:10" x14ac:dyDescent="0.25">
      <c r="I14318" s="199"/>
      <c r="J14318" s="199"/>
    </row>
    <row r="14319" spans="9:10" x14ac:dyDescent="0.25">
      <c r="I14319" s="199"/>
      <c r="J14319" s="199"/>
    </row>
    <row r="14320" spans="9:10" x14ac:dyDescent="0.25">
      <c r="I14320" s="199"/>
      <c r="J14320" s="199"/>
    </row>
    <row r="14321" spans="9:10" x14ac:dyDescent="0.25">
      <c r="I14321" s="199"/>
      <c r="J14321" s="199"/>
    </row>
    <row r="14322" spans="9:10" x14ac:dyDescent="0.25">
      <c r="I14322" s="199"/>
      <c r="J14322" s="199"/>
    </row>
    <row r="14323" spans="9:10" x14ac:dyDescent="0.25">
      <c r="I14323" s="199"/>
      <c r="J14323" s="199"/>
    </row>
    <row r="14324" spans="9:10" x14ac:dyDescent="0.25">
      <c r="I14324" s="199"/>
      <c r="J14324" s="199"/>
    </row>
    <row r="14325" spans="9:10" x14ac:dyDescent="0.25">
      <c r="I14325" s="199"/>
      <c r="J14325" s="199"/>
    </row>
    <row r="14326" spans="9:10" x14ac:dyDescent="0.25">
      <c r="I14326" s="199"/>
      <c r="J14326" s="199"/>
    </row>
    <row r="14327" spans="9:10" x14ac:dyDescent="0.25">
      <c r="I14327" s="199"/>
      <c r="J14327" s="199"/>
    </row>
    <row r="14328" spans="9:10" x14ac:dyDescent="0.25">
      <c r="I14328" s="199"/>
      <c r="J14328" s="199"/>
    </row>
    <row r="14329" spans="9:10" x14ac:dyDescent="0.25">
      <c r="I14329" s="199"/>
      <c r="J14329" s="199"/>
    </row>
    <row r="14330" spans="9:10" x14ac:dyDescent="0.25">
      <c r="I14330" s="199"/>
      <c r="J14330" s="199"/>
    </row>
    <row r="14331" spans="9:10" x14ac:dyDescent="0.25">
      <c r="I14331" s="199"/>
      <c r="J14331" s="199"/>
    </row>
    <row r="14332" spans="9:10" x14ac:dyDescent="0.25">
      <c r="I14332" s="199"/>
      <c r="J14332" s="199"/>
    </row>
    <row r="14333" spans="9:10" x14ac:dyDescent="0.25">
      <c r="I14333" s="199"/>
      <c r="J14333" s="199"/>
    </row>
    <row r="14334" spans="9:10" x14ac:dyDescent="0.25">
      <c r="I14334" s="199"/>
      <c r="J14334" s="199"/>
    </row>
    <row r="14335" spans="9:10" x14ac:dyDescent="0.25">
      <c r="I14335" s="199"/>
      <c r="J14335" s="199"/>
    </row>
    <row r="14336" spans="9:10" x14ac:dyDescent="0.25">
      <c r="I14336" s="199"/>
      <c r="J14336" s="199"/>
    </row>
    <row r="14337" spans="9:10" x14ac:dyDescent="0.25">
      <c r="I14337" s="199"/>
      <c r="J14337" s="199"/>
    </row>
    <row r="14338" spans="9:10" x14ac:dyDescent="0.25">
      <c r="I14338" s="199"/>
      <c r="J14338" s="199"/>
    </row>
    <row r="14339" spans="9:10" x14ac:dyDescent="0.25">
      <c r="I14339" s="199"/>
      <c r="J14339" s="199"/>
    </row>
    <row r="14340" spans="9:10" x14ac:dyDescent="0.25">
      <c r="I14340" s="199"/>
      <c r="J14340" s="199"/>
    </row>
    <row r="14341" spans="9:10" x14ac:dyDescent="0.25">
      <c r="I14341" s="199"/>
      <c r="J14341" s="199"/>
    </row>
    <row r="14342" spans="9:10" x14ac:dyDescent="0.25">
      <c r="I14342" s="199"/>
      <c r="J14342" s="199"/>
    </row>
    <row r="14343" spans="9:10" x14ac:dyDescent="0.25">
      <c r="I14343" s="199"/>
      <c r="J14343" s="199"/>
    </row>
    <row r="14344" spans="9:10" x14ac:dyDescent="0.25">
      <c r="I14344" s="199"/>
      <c r="J14344" s="199"/>
    </row>
    <row r="14345" spans="9:10" x14ac:dyDescent="0.25">
      <c r="I14345" s="199"/>
      <c r="J14345" s="199"/>
    </row>
    <row r="14346" spans="9:10" x14ac:dyDescent="0.25">
      <c r="I14346" s="199"/>
      <c r="J14346" s="199"/>
    </row>
    <row r="14347" spans="9:10" x14ac:dyDescent="0.25">
      <c r="I14347" s="199"/>
      <c r="J14347" s="199"/>
    </row>
    <row r="14348" spans="9:10" x14ac:dyDescent="0.25">
      <c r="I14348" s="199"/>
      <c r="J14348" s="199"/>
    </row>
    <row r="14349" spans="9:10" x14ac:dyDescent="0.25">
      <c r="I14349" s="199"/>
      <c r="J14349" s="199"/>
    </row>
    <row r="14350" spans="9:10" x14ac:dyDescent="0.25">
      <c r="I14350" s="199"/>
      <c r="J14350" s="199"/>
    </row>
    <row r="14351" spans="9:10" x14ac:dyDescent="0.25">
      <c r="I14351" s="199"/>
      <c r="J14351" s="199"/>
    </row>
    <row r="14352" spans="9:10" x14ac:dyDescent="0.25">
      <c r="I14352" s="199"/>
      <c r="J14352" s="199"/>
    </row>
    <row r="14353" spans="9:10" x14ac:dyDescent="0.25">
      <c r="I14353" s="199"/>
      <c r="J14353" s="199"/>
    </row>
    <row r="14354" spans="9:10" x14ac:dyDescent="0.25">
      <c r="I14354" s="199"/>
      <c r="J14354" s="199"/>
    </row>
    <row r="14355" spans="9:10" x14ac:dyDescent="0.25">
      <c r="I14355" s="199"/>
      <c r="J14355" s="199"/>
    </row>
    <row r="14356" spans="9:10" x14ac:dyDescent="0.25">
      <c r="I14356" s="199"/>
      <c r="J14356" s="199"/>
    </row>
    <row r="14357" spans="9:10" x14ac:dyDescent="0.25">
      <c r="I14357" s="199"/>
      <c r="J14357" s="199"/>
    </row>
    <row r="14358" spans="9:10" x14ac:dyDescent="0.25">
      <c r="I14358" s="199"/>
      <c r="J14358" s="199"/>
    </row>
    <row r="14359" spans="9:10" x14ac:dyDescent="0.25">
      <c r="I14359" s="199"/>
      <c r="J14359" s="199"/>
    </row>
    <row r="14360" spans="9:10" x14ac:dyDescent="0.25">
      <c r="I14360" s="199"/>
      <c r="J14360" s="199"/>
    </row>
    <row r="14361" spans="9:10" x14ac:dyDescent="0.25">
      <c r="I14361" s="199"/>
      <c r="J14361" s="199"/>
    </row>
    <row r="14362" spans="9:10" x14ac:dyDescent="0.25">
      <c r="I14362" s="199"/>
      <c r="J14362" s="199"/>
    </row>
    <row r="14363" spans="9:10" x14ac:dyDescent="0.25">
      <c r="I14363" s="199"/>
      <c r="J14363" s="199"/>
    </row>
    <row r="14364" spans="9:10" x14ac:dyDescent="0.25">
      <c r="I14364" s="199"/>
      <c r="J14364" s="199"/>
    </row>
    <row r="14365" spans="9:10" x14ac:dyDescent="0.25">
      <c r="I14365" s="199"/>
      <c r="J14365" s="199"/>
    </row>
    <row r="14366" spans="9:10" x14ac:dyDescent="0.25">
      <c r="I14366" s="199"/>
      <c r="J14366" s="199"/>
    </row>
    <row r="14367" spans="9:10" x14ac:dyDescent="0.25">
      <c r="I14367" s="199"/>
      <c r="J14367" s="199"/>
    </row>
    <row r="14368" spans="9:10" x14ac:dyDescent="0.25">
      <c r="I14368" s="199"/>
      <c r="J14368" s="199"/>
    </row>
    <row r="14369" spans="9:10" x14ac:dyDescent="0.25">
      <c r="I14369" s="199"/>
      <c r="J14369" s="199"/>
    </row>
    <row r="14370" spans="9:10" x14ac:dyDescent="0.25">
      <c r="I14370" s="199"/>
      <c r="J14370" s="199"/>
    </row>
    <row r="14371" spans="9:10" x14ac:dyDescent="0.25">
      <c r="I14371" s="199"/>
      <c r="J14371" s="199"/>
    </row>
    <row r="14372" spans="9:10" x14ac:dyDescent="0.25">
      <c r="I14372" s="199"/>
      <c r="J14372" s="199"/>
    </row>
    <row r="14373" spans="9:10" x14ac:dyDescent="0.25">
      <c r="I14373" s="199"/>
      <c r="J14373" s="199"/>
    </row>
    <row r="14374" spans="9:10" x14ac:dyDescent="0.25">
      <c r="I14374" s="199"/>
      <c r="J14374" s="199"/>
    </row>
    <row r="14375" spans="9:10" x14ac:dyDescent="0.25">
      <c r="I14375" s="199"/>
      <c r="J14375" s="199"/>
    </row>
    <row r="14376" spans="9:10" x14ac:dyDescent="0.25">
      <c r="I14376" s="199"/>
      <c r="J14376" s="199"/>
    </row>
    <row r="14377" spans="9:10" x14ac:dyDescent="0.25">
      <c r="I14377" s="199"/>
      <c r="J14377" s="199"/>
    </row>
    <row r="14378" spans="9:10" x14ac:dyDescent="0.25">
      <c r="I14378" s="199"/>
      <c r="J14378" s="199"/>
    </row>
    <row r="14379" spans="9:10" x14ac:dyDescent="0.25">
      <c r="I14379" s="199"/>
      <c r="J14379" s="199"/>
    </row>
    <row r="14380" spans="9:10" x14ac:dyDescent="0.25">
      <c r="I14380" s="199"/>
      <c r="J14380" s="199"/>
    </row>
    <row r="14381" spans="9:10" x14ac:dyDescent="0.25">
      <c r="I14381" s="199"/>
      <c r="J14381" s="199"/>
    </row>
    <row r="14382" spans="9:10" x14ac:dyDescent="0.25">
      <c r="I14382" s="199"/>
      <c r="J14382" s="199"/>
    </row>
    <row r="14383" spans="9:10" x14ac:dyDescent="0.25">
      <c r="I14383" s="199"/>
      <c r="J14383" s="199"/>
    </row>
    <row r="14384" spans="9:10" x14ac:dyDescent="0.25">
      <c r="I14384" s="199"/>
      <c r="J14384" s="199"/>
    </row>
    <row r="14385" spans="9:10" x14ac:dyDescent="0.25">
      <c r="I14385" s="199"/>
      <c r="J14385" s="199"/>
    </row>
    <row r="14386" spans="9:10" x14ac:dyDescent="0.25">
      <c r="I14386" s="199"/>
      <c r="J14386" s="199"/>
    </row>
    <row r="14387" spans="9:10" x14ac:dyDescent="0.25">
      <c r="I14387" s="199"/>
      <c r="J14387" s="199"/>
    </row>
    <row r="14388" spans="9:10" x14ac:dyDescent="0.25">
      <c r="I14388" s="199"/>
      <c r="J14388" s="199"/>
    </row>
    <row r="14389" spans="9:10" x14ac:dyDescent="0.25">
      <c r="I14389" s="199"/>
      <c r="J14389" s="199"/>
    </row>
    <row r="14390" spans="9:10" x14ac:dyDescent="0.25">
      <c r="I14390" s="199"/>
      <c r="J14390" s="199"/>
    </row>
    <row r="14391" spans="9:10" x14ac:dyDescent="0.25">
      <c r="I14391" s="199"/>
      <c r="J14391" s="199"/>
    </row>
    <row r="14392" spans="9:10" x14ac:dyDescent="0.25">
      <c r="I14392" s="199"/>
      <c r="J14392" s="199"/>
    </row>
    <row r="14393" spans="9:10" x14ac:dyDescent="0.25">
      <c r="I14393" s="199"/>
      <c r="J14393" s="199"/>
    </row>
    <row r="14394" spans="9:10" x14ac:dyDescent="0.25">
      <c r="I14394" s="199"/>
      <c r="J14394" s="199"/>
    </row>
    <row r="14395" spans="9:10" x14ac:dyDescent="0.25">
      <c r="I14395" s="199"/>
      <c r="J14395" s="199"/>
    </row>
    <row r="14396" spans="9:10" x14ac:dyDescent="0.25">
      <c r="I14396" s="199"/>
      <c r="J14396" s="199"/>
    </row>
    <row r="14397" spans="9:10" x14ac:dyDescent="0.25">
      <c r="I14397" s="199"/>
      <c r="J14397" s="199"/>
    </row>
    <row r="14398" spans="9:10" x14ac:dyDescent="0.25">
      <c r="I14398" s="199"/>
      <c r="J14398" s="199"/>
    </row>
    <row r="14399" spans="9:10" x14ac:dyDescent="0.25">
      <c r="I14399" s="199"/>
      <c r="J14399" s="199"/>
    </row>
    <row r="14400" spans="9:10" x14ac:dyDescent="0.25">
      <c r="I14400" s="199"/>
      <c r="J14400" s="199"/>
    </row>
    <row r="14401" spans="9:10" x14ac:dyDescent="0.25">
      <c r="I14401" s="199"/>
      <c r="J14401" s="199"/>
    </row>
    <row r="14402" spans="9:10" x14ac:dyDescent="0.25">
      <c r="I14402" s="199"/>
      <c r="J14402" s="199"/>
    </row>
    <row r="14403" spans="9:10" x14ac:dyDescent="0.25">
      <c r="I14403" s="199"/>
      <c r="J14403" s="199"/>
    </row>
    <row r="14404" spans="9:10" x14ac:dyDescent="0.25">
      <c r="I14404" s="199"/>
      <c r="J14404" s="199"/>
    </row>
    <row r="14405" spans="9:10" x14ac:dyDescent="0.25">
      <c r="I14405" s="199"/>
      <c r="J14405" s="199"/>
    </row>
    <row r="14406" spans="9:10" x14ac:dyDescent="0.25">
      <c r="I14406" s="199"/>
      <c r="J14406" s="199"/>
    </row>
    <row r="14407" spans="9:10" x14ac:dyDescent="0.25">
      <c r="I14407" s="199"/>
      <c r="J14407" s="199"/>
    </row>
    <row r="14408" spans="9:10" x14ac:dyDescent="0.25">
      <c r="I14408" s="199"/>
      <c r="J14408" s="199"/>
    </row>
    <row r="14409" spans="9:10" x14ac:dyDescent="0.25">
      <c r="I14409" s="199"/>
      <c r="J14409" s="199"/>
    </row>
    <row r="14410" spans="9:10" x14ac:dyDescent="0.25">
      <c r="I14410" s="199"/>
      <c r="J14410" s="199"/>
    </row>
    <row r="14411" spans="9:10" x14ac:dyDescent="0.25">
      <c r="I14411" s="199"/>
      <c r="J14411" s="199"/>
    </row>
    <row r="14412" spans="9:10" x14ac:dyDescent="0.25">
      <c r="I14412" s="199"/>
      <c r="J14412" s="199"/>
    </row>
    <row r="14413" spans="9:10" x14ac:dyDescent="0.25">
      <c r="I14413" s="199"/>
      <c r="J14413" s="199"/>
    </row>
    <row r="14414" spans="9:10" x14ac:dyDescent="0.25">
      <c r="I14414" s="199"/>
      <c r="J14414" s="199"/>
    </row>
    <row r="14415" spans="9:10" x14ac:dyDescent="0.25">
      <c r="I14415" s="199"/>
      <c r="J14415" s="199"/>
    </row>
    <row r="14416" spans="9:10" x14ac:dyDescent="0.25">
      <c r="I14416" s="199"/>
      <c r="J14416" s="199"/>
    </row>
    <row r="14417" spans="9:10" x14ac:dyDescent="0.25">
      <c r="I14417" s="199"/>
      <c r="J14417" s="199"/>
    </row>
    <row r="14418" spans="9:10" x14ac:dyDescent="0.25">
      <c r="I14418" s="199"/>
      <c r="J14418" s="199"/>
    </row>
    <row r="14419" spans="9:10" x14ac:dyDescent="0.25">
      <c r="I14419" s="199"/>
      <c r="J14419" s="199"/>
    </row>
    <row r="14420" spans="9:10" x14ac:dyDescent="0.25">
      <c r="I14420" s="199"/>
      <c r="J14420" s="199"/>
    </row>
    <row r="14421" spans="9:10" x14ac:dyDescent="0.25">
      <c r="I14421" s="199"/>
      <c r="J14421" s="199"/>
    </row>
    <row r="14422" spans="9:10" x14ac:dyDescent="0.25">
      <c r="I14422" s="199"/>
      <c r="J14422" s="199"/>
    </row>
    <row r="14423" spans="9:10" x14ac:dyDescent="0.25">
      <c r="I14423" s="199"/>
      <c r="J14423" s="199"/>
    </row>
    <row r="14424" spans="9:10" x14ac:dyDescent="0.25">
      <c r="I14424" s="199"/>
      <c r="J14424" s="199"/>
    </row>
    <row r="14425" spans="9:10" x14ac:dyDescent="0.25">
      <c r="I14425" s="199"/>
      <c r="J14425" s="199"/>
    </row>
    <row r="14426" spans="9:10" x14ac:dyDescent="0.25">
      <c r="I14426" s="199"/>
      <c r="J14426" s="199"/>
    </row>
    <row r="14427" spans="9:10" x14ac:dyDescent="0.25">
      <c r="I14427" s="199"/>
      <c r="J14427" s="199"/>
    </row>
    <row r="14428" spans="9:10" x14ac:dyDescent="0.25">
      <c r="I14428" s="199"/>
      <c r="J14428" s="199"/>
    </row>
    <row r="14429" spans="9:10" x14ac:dyDescent="0.25">
      <c r="I14429" s="199"/>
      <c r="J14429" s="199"/>
    </row>
    <row r="14430" spans="9:10" x14ac:dyDescent="0.25">
      <c r="I14430" s="199"/>
      <c r="J14430" s="199"/>
    </row>
    <row r="14431" spans="9:10" x14ac:dyDescent="0.25">
      <c r="I14431" s="199"/>
      <c r="J14431" s="199"/>
    </row>
    <row r="14432" spans="9:10" x14ac:dyDescent="0.25">
      <c r="I14432" s="199"/>
      <c r="J14432" s="199"/>
    </row>
    <row r="14433" spans="9:10" x14ac:dyDescent="0.25">
      <c r="I14433" s="199"/>
      <c r="J14433" s="199"/>
    </row>
    <row r="14434" spans="9:10" x14ac:dyDescent="0.25">
      <c r="I14434" s="199"/>
      <c r="J14434" s="199"/>
    </row>
    <row r="14435" spans="9:10" x14ac:dyDescent="0.25">
      <c r="I14435" s="199"/>
      <c r="J14435" s="199"/>
    </row>
    <row r="14436" spans="9:10" x14ac:dyDescent="0.25">
      <c r="I14436" s="199"/>
      <c r="J14436" s="199"/>
    </row>
    <row r="14437" spans="9:10" x14ac:dyDescent="0.25">
      <c r="I14437" s="199"/>
      <c r="J14437" s="199"/>
    </row>
    <row r="14438" spans="9:10" x14ac:dyDescent="0.25">
      <c r="I14438" s="199"/>
      <c r="J14438" s="199"/>
    </row>
    <row r="14439" spans="9:10" x14ac:dyDescent="0.25">
      <c r="I14439" s="199"/>
      <c r="J14439" s="199"/>
    </row>
    <row r="14440" spans="9:10" x14ac:dyDescent="0.25">
      <c r="I14440" s="199"/>
      <c r="J14440" s="199"/>
    </row>
    <row r="14441" spans="9:10" x14ac:dyDescent="0.25">
      <c r="I14441" s="199"/>
      <c r="J14441" s="199"/>
    </row>
    <row r="14442" spans="9:10" x14ac:dyDescent="0.25">
      <c r="I14442" s="199"/>
      <c r="J14442" s="199"/>
    </row>
    <row r="14443" spans="9:10" x14ac:dyDescent="0.25">
      <c r="I14443" s="199"/>
      <c r="J14443" s="199"/>
    </row>
    <row r="14444" spans="9:10" x14ac:dyDescent="0.25">
      <c r="I14444" s="199"/>
      <c r="J14444" s="199"/>
    </row>
    <row r="14445" spans="9:10" x14ac:dyDescent="0.25">
      <c r="I14445" s="199"/>
      <c r="J14445" s="199"/>
    </row>
    <row r="14446" spans="9:10" x14ac:dyDescent="0.25">
      <c r="I14446" s="199"/>
      <c r="J14446" s="199"/>
    </row>
    <row r="14447" spans="9:10" x14ac:dyDescent="0.25">
      <c r="I14447" s="199"/>
      <c r="J14447" s="199"/>
    </row>
    <row r="14448" spans="9:10" x14ac:dyDescent="0.25">
      <c r="I14448" s="199"/>
      <c r="J14448" s="199"/>
    </row>
    <row r="14449" spans="9:10" x14ac:dyDescent="0.25">
      <c r="I14449" s="199"/>
      <c r="J14449" s="199"/>
    </row>
    <row r="14450" spans="9:10" x14ac:dyDescent="0.25">
      <c r="I14450" s="199"/>
      <c r="J14450" s="199"/>
    </row>
    <row r="14451" spans="9:10" x14ac:dyDescent="0.25">
      <c r="I14451" s="199"/>
      <c r="J14451" s="199"/>
    </row>
    <row r="14452" spans="9:10" x14ac:dyDescent="0.25">
      <c r="I14452" s="199"/>
      <c r="J14452" s="199"/>
    </row>
    <row r="14453" spans="9:10" x14ac:dyDescent="0.25">
      <c r="I14453" s="199"/>
      <c r="J14453" s="199"/>
    </row>
    <row r="14454" spans="9:10" x14ac:dyDescent="0.25">
      <c r="I14454" s="199"/>
      <c r="J14454" s="199"/>
    </row>
    <row r="14455" spans="9:10" x14ac:dyDescent="0.25">
      <c r="I14455" s="199"/>
      <c r="J14455" s="199"/>
    </row>
    <row r="14456" spans="9:10" x14ac:dyDescent="0.25">
      <c r="I14456" s="199"/>
      <c r="J14456" s="199"/>
    </row>
    <row r="14457" spans="9:10" x14ac:dyDescent="0.25">
      <c r="I14457" s="199"/>
      <c r="J14457" s="199"/>
    </row>
    <row r="14458" spans="9:10" x14ac:dyDescent="0.25">
      <c r="I14458" s="199"/>
      <c r="J14458" s="199"/>
    </row>
    <row r="14459" spans="9:10" x14ac:dyDescent="0.25">
      <c r="I14459" s="199"/>
      <c r="J14459" s="199"/>
    </row>
    <row r="14460" spans="9:10" x14ac:dyDescent="0.25">
      <c r="I14460" s="199"/>
      <c r="J14460" s="199"/>
    </row>
    <row r="14461" spans="9:10" x14ac:dyDescent="0.25">
      <c r="I14461" s="199"/>
      <c r="J14461" s="199"/>
    </row>
    <row r="14462" spans="9:10" x14ac:dyDescent="0.25">
      <c r="I14462" s="199"/>
      <c r="J14462" s="199"/>
    </row>
    <row r="14463" spans="9:10" x14ac:dyDescent="0.25">
      <c r="I14463" s="199"/>
      <c r="J14463" s="199"/>
    </row>
    <row r="14464" spans="9:10" x14ac:dyDescent="0.25">
      <c r="I14464" s="199"/>
      <c r="J14464" s="199"/>
    </row>
    <row r="14465" spans="9:10" x14ac:dyDescent="0.25">
      <c r="I14465" s="199"/>
      <c r="J14465" s="199"/>
    </row>
    <row r="14466" spans="9:10" x14ac:dyDescent="0.25">
      <c r="I14466" s="199"/>
      <c r="J14466" s="199"/>
    </row>
    <row r="14467" spans="9:10" x14ac:dyDescent="0.25">
      <c r="I14467" s="199"/>
      <c r="J14467" s="199"/>
    </row>
    <row r="14468" spans="9:10" x14ac:dyDescent="0.25">
      <c r="I14468" s="199"/>
      <c r="J14468" s="199"/>
    </row>
    <row r="14469" spans="9:10" x14ac:dyDescent="0.25">
      <c r="I14469" s="199"/>
      <c r="J14469" s="199"/>
    </row>
    <row r="14470" spans="9:10" x14ac:dyDescent="0.25">
      <c r="I14470" s="199"/>
      <c r="J14470" s="199"/>
    </row>
    <row r="14471" spans="9:10" x14ac:dyDescent="0.25">
      <c r="I14471" s="199"/>
      <c r="J14471" s="199"/>
    </row>
    <row r="14472" spans="9:10" x14ac:dyDescent="0.25">
      <c r="I14472" s="199"/>
      <c r="J14472" s="199"/>
    </row>
    <row r="14473" spans="9:10" x14ac:dyDescent="0.25">
      <c r="I14473" s="199"/>
      <c r="J14473" s="199"/>
    </row>
    <row r="14474" spans="9:10" x14ac:dyDescent="0.25">
      <c r="I14474" s="199"/>
      <c r="J14474" s="199"/>
    </row>
    <row r="14475" spans="9:10" x14ac:dyDescent="0.25">
      <c r="I14475" s="199"/>
      <c r="J14475" s="199"/>
    </row>
    <row r="14476" spans="9:10" x14ac:dyDescent="0.25">
      <c r="I14476" s="199"/>
      <c r="J14476" s="199"/>
    </row>
    <row r="14477" spans="9:10" x14ac:dyDescent="0.25">
      <c r="I14477" s="199"/>
      <c r="J14477" s="199"/>
    </row>
    <row r="14478" spans="9:10" x14ac:dyDescent="0.25">
      <c r="I14478" s="199"/>
      <c r="J14478" s="199"/>
    </row>
    <row r="14479" spans="9:10" x14ac:dyDescent="0.25">
      <c r="I14479" s="199"/>
      <c r="J14479" s="199"/>
    </row>
    <row r="14480" spans="9:10" x14ac:dyDescent="0.25">
      <c r="I14480" s="199"/>
      <c r="J14480" s="199"/>
    </row>
    <row r="14481" spans="9:10" x14ac:dyDescent="0.25">
      <c r="I14481" s="199"/>
      <c r="J14481" s="199"/>
    </row>
    <row r="14482" spans="9:10" x14ac:dyDescent="0.25">
      <c r="I14482" s="199"/>
      <c r="J14482" s="199"/>
    </row>
    <row r="14483" spans="9:10" x14ac:dyDescent="0.25">
      <c r="I14483" s="199"/>
      <c r="J14483" s="199"/>
    </row>
    <row r="14484" spans="9:10" x14ac:dyDescent="0.25">
      <c r="I14484" s="199"/>
      <c r="J14484" s="199"/>
    </row>
    <row r="14485" spans="9:10" x14ac:dyDescent="0.25">
      <c r="I14485" s="199"/>
      <c r="J14485" s="199"/>
    </row>
    <row r="14486" spans="9:10" x14ac:dyDescent="0.25">
      <c r="I14486" s="199"/>
      <c r="J14486" s="199"/>
    </row>
    <row r="14487" spans="9:10" x14ac:dyDescent="0.25">
      <c r="I14487" s="199"/>
      <c r="J14487" s="199"/>
    </row>
    <row r="14488" spans="9:10" x14ac:dyDescent="0.25">
      <c r="I14488" s="199"/>
      <c r="J14488" s="199"/>
    </row>
    <row r="14489" spans="9:10" x14ac:dyDescent="0.25">
      <c r="I14489" s="199"/>
      <c r="J14489" s="199"/>
    </row>
    <row r="14490" spans="9:10" x14ac:dyDescent="0.25">
      <c r="I14490" s="199"/>
      <c r="J14490" s="199"/>
    </row>
    <row r="14491" spans="9:10" x14ac:dyDescent="0.25">
      <c r="I14491" s="199"/>
      <c r="J14491" s="199"/>
    </row>
    <row r="14492" spans="9:10" x14ac:dyDescent="0.25">
      <c r="I14492" s="199"/>
      <c r="J14492" s="199"/>
    </row>
    <row r="14493" spans="9:10" x14ac:dyDescent="0.25">
      <c r="I14493" s="199"/>
      <c r="J14493" s="199"/>
    </row>
    <row r="14494" spans="9:10" x14ac:dyDescent="0.25">
      <c r="I14494" s="199"/>
      <c r="J14494" s="199"/>
    </row>
    <row r="14495" spans="9:10" x14ac:dyDescent="0.25">
      <c r="I14495" s="199"/>
      <c r="J14495" s="199"/>
    </row>
    <row r="14496" spans="9:10" x14ac:dyDescent="0.25">
      <c r="I14496" s="199"/>
      <c r="J14496" s="199"/>
    </row>
    <row r="14497" spans="9:10" x14ac:dyDescent="0.25">
      <c r="I14497" s="199"/>
      <c r="J14497" s="199"/>
    </row>
    <row r="14498" spans="9:10" x14ac:dyDescent="0.25">
      <c r="I14498" s="199"/>
      <c r="J14498" s="199"/>
    </row>
    <row r="14499" spans="9:10" x14ac:dyDescent="0.25">
      <c r="I14499" s="199"/>
      <c r="J14499" s="199"/>
    </row>
    <row r="14500" spans="9:10" x14ac:dyDescent="0.25">
      <c r="I14500" s="199"/>
      <c r="J14500" s="199"/>
    </row>
    <row r="14501" spans="9:10" x14ac:dyDescent="0.25">
      <c r="I14501" s="199"/>
      <c r="J14501" s="199"/>
    </row>
    <row r="14502" spans="9:10" x14ac:dyDescent="0.25">
      <c r="I14502" s="199"/>
      <c r="J14502" s="199"/>
    </row>
    <row r="14503" spans="9:10" x14ac:dyDescent="0.25">
      <c r="I14503" s="199"/>
      <c r="J14503" s="199"/>
    </row>
    <row r="14504" spans="9:10" x14ac:dyDescent="0.25">
      <c r="I14504" s="199"/>
      <c r="J14504" s="199"/>
    </row>
    <row r="14505" spans="9:10" x14ac:dyDescent="0.25">
      <c r="I14505" s="199"/>
      <c r="J14505" s="199"/>
    </row>
    <row r="14506" spans="9:10" x14ac:dyDescent="0.25">
      <c r="I14506" s="199"/>
      <c r="J14506" s="199"/>
    </row>
    <row r="14507" spans="9:10" x14ac:dyDescent="0.25">
      <c r="I14507" s="199"/>
      <c r="J14507" s="199"/>
    </row>
    <row r="14508" spans="9:10" x14ac:dyDescent="0.25">
      <c r="I14508" s="199"/>
      <c r="J14508" s="199"/>
    </row>
    <row r="14509" spans="9:10" x14ac:dyDescent="0.25">
      <c r="I14509" s="199"/>
      <c r="J14509" s="199"/>
    </row>
    <row r="14510" spans="9:10" x14ac:dyDescent="0.25">
      <c r="I14510" s="199"/>
      <c r="J14510" s="199"/>
    </row>
    <row r="14511" spans="9:10" x14ac:dyDescent="0.25">
      <c r="I14511" s="199"/>
      <c r="J14511" s="199"/>
    </row>
    <row r="14512" spans="9:10" x14ac:dyDescent="0.25">
      <c r="I14512" s="199"/>
      <c r="J14512" s="199"/>
    </row>
    <row r="14513" spans="9:10" x14ac:dyDescent="0.25">
      <c r="I14513" s="199"/>
      <c r="J14513" s="199"/>
    </row>
    <row r="14514" spans="9:10" x14ac:dyDescent="0.25">
      <c r="I14514" s="199"/>
      <c r="J14514" s="199"/>
    </row>
    <row r="14515" spans="9:10" x14ac:dyDescent="0.25">
      <c r="I14515" s="199"/>
      <c r="J14515" s="199"/>
    </row>
    <row r="14516" spans="9:10" x14ac:dyDescent="0.25">
      <c r="I14516" s="199"/>
      <c r="J14516" s="199"/>
    </row>
    <row r="14517" spans="9:10" x14ac:dyDescent="0.25">
      <c r="I14517" s="199"/>
      <c r="J14517" s="199"/>
    </row>
    <row r="14518" spans="9:10" x14ac:dyDescent="0.25">
      <c r="I14518" s="199"/>
      <c r="J14518" s="199"/>
    </row>
    <row r="14519" spans="9:10" x14ac:dyDescent="0.25">
      <c r="I14519" s="199"/>
      <c r="J14519" s="199"/>
    </row>
    <row r="14520" spans="9:10" x14ac:dyDescent="0.25">
      <c r="I14520" s="199"/>
      <c r="J14520" s="199"/>
    </row>
    <row r="14521" spans="9:10" x14ac:dyDescent="0.25">
      <c r="I14521" s="199"/>
      <c r="J14521" s="199"/>
    </row>
    <row r="14522" spans="9:10" x14ac:dyDescent="0.25">
      <c r="I14522" s="199"/>
      <c r="J14522" s="199"/>
    </row>
    <row r="14523" spans="9:10" x14ac:dyDescent="0.25">
      <c r="I14523" s="199"/>
      <c r="J14523" s="199"/>
    </row>
    <row r="14524" spans="9:10" x14ac:dyDescent="0.25">
      <c r="I14524" s="199"/>
      <c r="J14524" s="199"/>
    </row>
    <row r="14525" spans="9:10" x14ac:dyDescent="0.25">
      <c r="I14525" s="199"/>
      <c r="J14525" s="199"/>
    </row>
    <row r="14526" spans="9:10" x14ac:dyDescent="0.25">
      <c r="I14526" s="199"/>
      <c r="J14526" s="199"/>
    </row>
    <row r="14527" spans="9:10" x14ac:dyDescent="0.25">
      <c r="I14527" s="199"/>
      <c r="J14527" s="199"/>
    </row>
    <row r="14528" spans="9:10" x14ac:dyDescent="0.25">
      <c r="I14528" s="199"/>
      <c r="J14528" s="199"/>
    </row>
    <row r="14529" spans="9:10" x14ac:dyDescent="0.25">
      <c r="I14529" s="199"/>
      <c r="J14529" s="199"/>
    </row>
    <row r="14530" spans="9:10" x14ac:dyDescent="0.25">
      <c r="I14530" s="199"/>
      <c r="J14530" s="199"/>
    </row>
    <row r="14531" spans="9:10" x14ac:dyDescent="0.25">
      <c r="I14531" s="199"/>
      <c r="J14531" s="199"/>
    </row>
    <row r="14532" spans="9:10" x14ac:dyDescent="0.25">
      <c r="I14532" s="199"/>
      <c r="J14532" s="199"/>
    </row>
    <row r="14533" spans="9:10" x14ac:dyDescent="0.25">
      <c r="I14533" s="199"/>
      <c r="J14533" s="199"/>
    </row>
    <row r="14534" spans="9:10" x14ac:dyDescent="0.25">
      <c r="I14534" s="199"/>
      <c r="J14534" s="199"/>
    </row>
    <row r="14535" spans="9:10" x14ac:dyDescent="0.25">
      <c r="I14535" s="199"/>
      <c r="J14535" s="199"/>
    </row>
    <row r="14536" spans="9:10" x14ac:dyDescent="0.25">
      <c r="I14536" s="199"/>
      <c r="J14536" s="199"/>
    </row>
    <row r="14537" spans="9:10" x14ac:dyDescent="0.25">
      <c r="I14537" s="199"/>
      <c r="J14537" s="199"/>
    </row>
    <row r="14538" spans="9:10" x14ac:dyDescent="0.25">
      <c r="I14538" s="199"/>
      <c r="J14538" s="199"/>
    </row>
    <row r="14539" spans="9:10" x14ac:dyDescent="0.25">
      <c r="I14539" s="199"/>
      <c r="J14539" s="199"/>
    </row>
    <row r="14540" spans="9:10" x14ac:dyDescent="0.25">
      <c r="I14540" s="199"/>
      <c r="J14540" s="199"/>
    </row>
    <row r="14541" spans="9:10" x14ac:dyDescent="0.25">
      <c r="I14541" s="199"/>
      <c r="J14541" s="199"/>
    </row>
    <row r="14542" spans="9:10" x14ac:dyDescent="0.25">
      <c r="I14542" s="199"/>
      <c r="J14542" s="199"/>
    </row>
    <row r="14543" spans="9:10" x14ac:dyDescent="0.25">
      <c r="I14543" s="199"/>
      <c r="J14543" s="199"/>
    </row>
    <row r="14544" spans="9:10" x14ac:dyDescent="0.25">
      <c r="I14544" s="199"/>
      <c r="J14544" s="199"/>
    </row>
    <row r="14545" spans="9:10" x14ac:dyDescent="0.25">
      <c r="I14545" s="199"/>
      <c r="J14545" s="199"/>
    </row>
    <row r="14546" spans="9:10" x14ac:dyDescent="0.25">
      <c r="I14546" s="199"/>
      <c r="J14546" s="199"/>
    </row>
    <row r="14547" spans="9:10" x14ac:dyDescent="0.25">
      <c r="I14547" s="199"/>
      <c r="J14547" s="199"/>
    </row>
    <row r="14548" spans="9:10" x14ac:dyDescent="0.25">
      <c r="I14548" s="199"/>
      <c r="J14548" s="199"/>
    </row>
    <row r="14549" spans="9:10" x14ac:dyDescent="0.25">
      <c r="I14549" s="199"/>
      <c r="J14549" s="199"/>
    </row>
    <row r="14550" spans="9:10" x14ac:dyDescent="0.25">
      <c r="I14550" s="199"/>
      <c r="J14550" s="199"/>
    </row>
    <row r="14551" spans="9:10" x14ac:dyDescent="0.25">
      <c r="I14551" s="199"/>
      <c r="J14551" s="199"/>
    </row>
    <row r="14552" spans="9:10" x14ac:dyDescent="0.25">
      <c r="I14552" s="199"/>
      <c r="J14552" s="199"/>
    </row>
    <row r="14553" spans="9:10" x14ac:dyDescent="0.25">
      <c r="I14553" s="199"/>
      <c r="J14553" s="199"/>
    </row>
    <row r="14554" spans="9:10" x14ac:dyDescent="0.25">
      <c r="I14554" s="199"/>
      <c r="J14554" s="199"/>
    </row>
    <row r="14555" spans="9:10" x14ac:dyDescent="0.25">
      <c r="I14555" s="199"/>
      <c r="J14555" s="199"/>
    </row>
    <row r="14556" spans="9:10" x14ac:dyDescent="0.25">
      <c r="I14556" s="199"/>
      <c r="J14556" s="199"/>
    </row>
    <row r="14557" spans="9:10" x14ac:dyDescent="0.25">
      <c r="I14557" s="199"/>
      <c r="J14557" s="199"/>
    </row>
    <row r="14558" spans="9:10" x14ac:dyDescent="0.25">
      <c r="I14558" s="199"/>
      <c r="J14558" s="199"/>
    </row>
    <row r="14559" spans="9:10" x14ac:dyDescent="0.25">
      <c r="I14559" s="199"/>
      <c r="J14559" s="199"/>
    </row>
    <row r="14560" spans="9:10" x14ac:dyDescent="0.25">
      <c r="I14560" s="199"/>
      <c r="J14560" s="199"/>
    </row>
    <row r="14561" spans="9:10" x14ac:dyDescent="0.25">
      <c r="I14561" s="199"/>
      <c r="J14561" s="199"/>
    </row>
    <row r="14562" spans="9:10" x14ac:dyDescent="0.25">
      <c r="I14562" s="199"/>
      <c r="J14562" s="199"/>
    </row>
    <row r="14563" spans="9:10" x14ac:dyDescent="0.25">
      <c r="I14563" s="199"/>
      <c r="J14563" s="199"/>
    </row>
    <row r="14564" spans="9:10" x14ac:dyDescent="0.25">
      <c r="I14564" s="199"/>
      <c r="J14564" s="199"/>
    </row>
    <row r="14565" spans="9:10" x14ac:dyDescent="0.25">
      <c r="I14565" s="199"/>
      <c r="J14565" s="199"/>
    </row>
    <row r="14566" spans="9:10" x14ac:dyDescent="0.25">
      <c r="I14566" s="199"/>
      <c r="J14566" s="199"/>
    </row>
    <row r="14567" spans="9:10" x14ac:dyDescent="0.25">
      <c r="I14567" s="199"/>
      <c r="J14567" s="199"/>
    </row>
    <row r="14568" spans="9:10" x14ac:dyDescent="0.25">
      <c r="I14568" s="199"/>
      <c r="J14568" s="199"/>
    </row>
    <row r="14569" spans="9:10" x14ac:dyDescent="0.25">
      <c r="I14569" s="199"/>
      <c r="J14569" s="199"/>
    </row>
    <row r="14570" spans="9:10" x14ac:dyDescent="0.25">
      <c r="I14570" s="199"/>
      <c r="J14570" s="199"/>
    </row>
    <row r="14571" spans="9:10" x14ac:dyDescent="0.25">
      <c r="I14571" s="199"/>
      <c r="J14571" s="199"/>
    </row>
    <row r="14572" spans="9:10" x14ac:dyDescent="0.25">
      <c r="I14572" s="199"/>
      <c r="J14572" s="199"/>
    </row>
    <row r="14573" spans="9:10" x14ac:dyDescent="0.25">
      <c r="I14573" s="199"/>
      <c r="J14573" s="199"/>
    </row>
    <row r="14574" spans="9:10" x14ac:dyDescent="0.25">
      <c r="I14574" s="199"/>
      <c r="J14574" s="199"/>
    </row>
    <row r="14575" spans="9:10" x14ac:dyDescent="0.25">
      <c r="I14575" s="199"/>
      <c r="J14575" s="199"/>
    </row>
    <row r="14576" spans="9:10" x14ac:dyDescent="0.25">
      <c r="I14576" s="199"/>
      <c r="J14576" s="199"/>
    </row>
    <row r="14577" spans="9:10" x14ac:dyDescent="0.25">
      <c r="I14577" s="199"/>
      <c r="J14577" s="199"/>
    </row>
    <row r="14578" spans="9:10" x14ac:dyDescent="0.25">
      <c r="I14578" s="199"/>
      <c r="J14578" s="199"/>
    </row>
    <row r="14579" spans="9:10" x14ac:dyDescent="0.25">
      <c r="I14579" s="199"/>
      <c r="J14579" s="199"/>
    </row>
    <row r="14580" spans="9:10" x14ac:dyDescent="0.25">
      <c r="I14580" s="199"/>
      <c r="J14580" s="199"/>
    </row>
    <row r="14581" spans="9:10" x14ac:dyDescent="0.25">
      <c r="I14581" s="199"/>
      <c r="J14581" s="199"/>
    </row>
    <row r="14582" spans="9:10" x14ac:dyDescent="0.25">
      <c r="I14582" s="199"/>
      <c r="J14582" s="199"/>
    </row>
    <row r="14583" spans="9:10" x14ac:dyDescent="0.25">
      <c r="I14583" s="199"/>
      <c r="J14583" s="199"/>
    </row>
    <row r="14584" spans="9:10" x14ac:dyDescent="0.25">
      <c r="I14584" s="199"/>
      <c r="J14584" s="199"/>
    </row>
    <row r="14585" spans="9:10" x14ac:dyDescent="0.25">
      <c r="I14585" s="199"/>
      <c r="J14585" s="199"/>
    </row>
    <row r="14586" spans="9:10" x14ac:dyDescent="0.25">
      <c r="I14586" s="199"/>
      <c r="J14586" s="199"/>
    </row>
    <row r="14587" spans="9:10" x14ac:dyDescent="0.25">
      <c r="I14587" s="199"/>
      <c r="J14587" s="199"/>
    </row>
    <row r="14588" spans="9:10" x14ac:dyDescent="0.25">
      <c r="I14588" s="199"/>
      <c r="J14588" s="199"/>
    </row>
    <row r="14589" spans="9:10" x14ac:dyDescent="0.25">
      <c r="I14589" s="199"/>
      <c r="J14589" s="199"/>
    </row>
    <row r="14590" spans="9:10" x14ac:dyDescent="0.25">
      <c r="I14590" s="199"/>
      <c r="J14590" s="199"/>
    </row>
    <row r="14591" spans="9:10" x14ac:dyDescent="0.25">
      <c r="I14591" s="199"/>
      <c r="J14591" s="199"/>
    </row>
    <row r="14592" spans="9:10" x14ac:dyDescent="0.25">
      <c r="I14592" s="199"/>
      <c r="J14592" s="199"/>
    </row>
    <row r="14593" spans="9:10" x14ac:dyDescent="0.25">
      <c r="I14593" s="199"/>
      <c r="J14593" s="199"/>
    </row>
    <row r="14594" spans="9:10" x14ac:dyDescent="0.25">
      <c r="I14594" s="199"/>
      <c r="J14594" s="199"/>
    </row>
    <row r="14595" spans="9:10" x14ac:dyDescent="0.25">
      <c r="I14595" s="199"/>
      <c r="J14595" s="199"/>
    </row>
    <row r="14596" spans="9:10" x14ac:dyDescent="0.25">
      <c r="I14596" s="199"/>
      <c r="J14596" s="199"/>
    </row>
    <row r="14597" spans="9:10" x14ac:dyDescent="0.25">
      <c r="I14597" s="199"/>
      <c r="J14597" s="199"/>
    </row>
    <row r="14598" spans="9:10" x14ac:dyDescent="0.25">
      <c r="I14598" s="199"/>
      <c r="J14598" s="199"/>
    </row>
    <row r="14599" spans="9:10" x14ac:dyDescent="0.25">
      <c r="I14599" s="199"/>
      <c r="J14599" s="199"/>
    </row>
    <row r="14600" spans="9:10" x14ac:dyDescent="0.25">
      <c r="I14600" s="199"/>
      <c r="J14600" s="199"/>
    </row>
    <row r="14601" spans="9:10" x14ac:dyDescent="0.25">
      <c r="I14601" s="199"/>
      <c r="J14601" s="199"/>
    </row>
    <row r="14602" spans="9:10" x14ac:dyDescent="0.25">
      <c r="I14602" s="199"/>
      <c r="J14602" s="199"/>
    </row>
    <row r="14603" spans="9:10" x14ac:dyDescent="0.25">
      <c r="I14603" s="199"/>
      <c r="J14603" s="199"/>
    </row>
    <row r="14604" spans="9:10" x14ac:dyDescent="0.25">
      <c r="I14604" s="199"/>
      <c r="J14604" s="199"/>
    </row>
    <row r="14605" spans="9:10" x14ac:dyDescent="0.25">
      <c r="I14605" s="199"/>
      <c r="J14605" s="199"/>
    </row>
    <row r="14606" spans="9:10" x14ac:dyDescent="0.25">
      <c r="I14606" s="199"/>
      <c r="J14606" s="199"/>
    </row>
    <row r="14607" spans="9:10" x14ac:dyDescent="0.25">
      <c r="I14607" s="199"/>
      <c r="J14607" s="199"/>
    </row>
    <row r="14608" spans="9:10" x14ac:dyDescent="0.25">
      <c r="I14608" s="199"/>
      <c r="J14608" s="199"/>
    </row>
    <row r="14609" spans="9:10" x14ac:dyDescent="0.25">
      <c r="I14609" s="199"/>
      <c r="J14609" s="199"/>
    </row>
    <row r="14610" spans="9:10" x14ac:dyDescent="0.25">
      <c r="I14610" s="199"/>
      <c r="J14610" s="199"/>
    </row>
    <row r="14611" spans="9:10" x14ac:dyDescent="0.25">
      <c r="I14611" s="199"/>
      <c r="J14611" s="199"/>
    </row>
    <row r="14612" spans="9:10" x14ac:dyDescent="0.25">
      <c r="I14612" s="199"/>
      <c r="J14612" s="199"/>
    </row>
    <row r="14613" spans="9:10" x14ac:dyDescent="0.25">
      <c r="I14613" s="199"/>
      <c r="J14613" s="199"/>
    </row>
    <row r="14614" spans="9:10" x14ac:dyDescent="0.25">
      <c r="I14614" s="199"/>
      <c r="J14614" s="199"/>
    </row>
    <row r="14615" spans="9:10" x14ac:dyDescent="0.25">
      <c r="I14615" s="199"/>
      <c r="J14615" s="199"/>
    </row>
    <row r="14616" spans="9:10" x14ac:dyDescent="0.25">
      <c r="I14616" s="199"/>
      <c r="J14616" s="199"/>
    </row>
    <row r="14617" spans="9:10" x14ac:dyDescent="0.25">
      <c r="I14617" s="199"/>
      <c r="J14617" s="199"/>
    </row>
    <row r="14618" spans="9:10" x14ac:dyDescent="0.25">
      <c r="I14618" s="199"/>
      <c r="J14618" s="199"/>
    </row>
    <row r="14619" spans="9:10" x14ac:dyDescent="0.25">
      <c r="I14619" s="199"/>
      <c r="J14619" s="199"/>
    </row>
    <row r="14620" spans="9:10" x14ac:dyDescent="0.25">
      <c r="I14620" s="199"/>
      <c r="J14620" s="199"/>
    </row>
    <row r="14621" spans="9:10" x14ac:dyDescent="0.25">
      <c r="I14621" s="199"/>
      <c r="J14621" s="199"/>
    </row>
    <row r="14622" spans="9:10" x14ac:dyDescent="0.25">
      <c r="I14622" s="199"/>
      <c r="J14622" s="199"/>
    </row>
    <row r="14623" spans="9:10" x14ac:dyDescent="0.25">
      <c r="I14623" s="199"/>
      <c r="J14623" s="199"/>
    </row>
    <row r="14624" spans="9:10" x14ac:dyDescent="0.25">
      <c r="I14624" s="199"/>
      <c r="J14624" s="199"/>
    </row>
    <row r="14625" spans="9:10" x14ac:dyDescent="0.25">
      <c r="I14625" s="199"/>
      <c r="J14625" s="199"/>
    </row>
    <row r="14626" spans="9:10" x14ac:dyDescent="0.25">
      <c r="I14626" s="199"/>
      <c r="J14626" s="199"/>
    </row>
    <row r="14627" spans="9:10" x14ac:dyDescent="0.25">
      <c r="I14627" s="199"/>
      <c r="J14627" s="199"/>
    </row>
    <row r="14628" spans="9:10" x14ac:dyDescent="0.25">
      <c r="I14628" s="199"/>
      <c r="J14628" s="199"/>
    </row>
    <row r="14629" spans="9:10" x14ac:dyDescent="0.25">
      <c r="I14629" s="199"/>
      <c r="J14629" s="199"/>
    </row>
    <row r="14630" spans="9:10" x14ac:dyDescent="0.25">
      <c r="I14630" s="199"/>
      <c r="J14630" s="199"/>
    </row>
    <row r="14631" spans="9:10" x14ac:dyDescent="0.25">
      <c r="I14631" s="199"/>
      <c r="J14631" s="199"/>
    </row>
    <row r="14632" spans="9:10" x14ac:dyDescent="0.25">
      <c r="I14632" s="199"/>
      <c r="J14632" s="199"/>
    </row>
    <row r="14633" spans="9:10" x14ac:dyDescent="0.25">
      <c r="I14633" s="199"/>
      <c r="J14633" s="199"/>
    </row>
    <row r="14634" spans="9:10" x14ac:dyDescent="0.25">
      <c r="I14634" s="199"/>
      <c r="J14634" s="199"/>
    </row>
    <row r="14635" spans="9:10" x14ac:dyDescent="0.25">
      <c r="I14635" s="199"/>
      <c r="J14635" s="199"/>
    </row>
    <row r="14636" spans="9:10" x14ac:dyDescent="0.25">
      <c r="I14636" s="199"/>
      <c r="J14636" s="199"/>
    </row>
    <row r="14637" spans="9:10" x14ac:dyDescent="0.25">
      <c r="I14637" s="199"/>
      <c r="J14637" s="199"/>
    </row>
    <row r="14638" spans="9:10" x14ac:dyDescent="0.25">
      <c r="I14638" s="199"/>
      <c r="J14638" s="199"/>
    </row>
    <row r="14639" spans="9:10" x14ac:dyDescent="0.25">
      <c r="I14639" s="199"/>
      <c r="J14639" s="199"/>
    </row>
    <row r="14640" spans="9:10" x14ac:dyDescent="0.25">
      <c r="I14640" s="199"/>
      <c r="J14640" s="199"/>
    </row>
    <row r="14641" spans="9:10" x14ac:dyDescent="0.25">
      <c r="I14641" s="199"/>
      <c r="J14641" s="199"/>
    </row>
    <row r="14642" spans="9:10" x14ac:dyDescent="0.25">
      <c r="I14642" s="199"/>
      <c r="J14642" s="199"/>
    </row>
    <row r="14643" spans="9:10" x14ac:dyDescent="0.25">
      <c r="I14643" s="199"/>
      <c r="J14643" s="199"/>
    </row>
    <row r="14644" spans="9:10" x14ac:dyDescent="0.25">
      <c r="I14644" s="199"/>
      <c r="J14644" s="199"/>
    </row>
    <row r="14645" spans="9:10" x14ac:dyDescent="0.25">
      <c r="I14645" s="199"/>
      <c r="J14645" s="199"/>
    </row>
    <row r="14646" spans="9:10" x14ac:dyDescent="0.25">
      <c r="I14646" s="199"/>
      <c r="J14646" s="199"/>
    </row>
    <row r="14647" spans="9:10" x14ac:dyDescent="0.25">
      <c r="I14647" s="199"/>
      <c r="J14647" s="199"/>
    </row>
    <row r="14648" spans="9:10" x14ac:dyDescent="0.25">
      <c r="I14648" s="199"/>
      <c r="J14648" s="199"/>
    </row>
    <row r="14649" spans="9:10" x14ac:dyDescent="0.25">
      <c r="I14649" s="199"/>
      <c r="J14649" s="199"/>
    </row>
    <row r="14650" spans="9:10" x14ac:dyDescent="0.25">
      <c r="I14650" s="199"/>
      <c r="J14650" s="199"/>
    </row>
    <row r="14651" spans="9:10" x14ac:dyDescent="0.25">
      <c r="I14651" s="199"/>
      <c r="J14651" s="199"/>
    </row>
    <row r="14652" spans="9:10" x14ac:dyDescent="0.25">
      <c r="I14652" s="199"/>
      <c r="J14652" s="199"/>
    </row>
    <row r="14653" spans="9:10" x14ac:dyDescent="0.25">
      <c r="I14653" s="199"/>
      <c r="J14653" s="199"/>
    </row>
    <row r="14654" spans="9:10" x14ac:dyDescent="0.25">
      <c r="I14654" s="199"/>
      <c r="J14654" s="199"/>
    </row>
    <row r="14655" spans="9:10" x14ac:dyDescent="0.25">
      <c r="I14655" s="199"/>
      <c r="J14655" s="199"/>
    </row>
    <row r="14656" spans="9:10" x14ac:dyDescent="0.25">
      <c r="I14656" s="199"/>
      <c r="J14656" s="199"/>
    </row>
    <row r="14657" spans="9:10" x14ac:dyDescent="0.25">
      <c r="I14657" s="199"/>
      <c r="J14657" s="199"/>
    </row>
    <row r="14658" spans="9:10" x14ac:dyDescent="0.25">
      <c r="I14658" s="199"/>
      <c r="J14658" s="199"/>
    </row>
    <row r="14659" spans="9:10" x14ac:dyDescent="0.25">
      <c r="I14659" s="199"/>
      <c r="J14659" s="199"/>
    </row>
    <row r="14660" spans="9:10" x14ac:dyDescent="0.25">
      <c r="I14660" s="199"/>
      <c r="J14660" s="199"/>
    </row>
    <row r="14661" spans="9:10" x14ac:dyDescent="0.25">
      <c r="I14661" s="199"/>
      <c r="J14661" s="199"/>
    </row>
    <row r="14662" spans="9:10" x14ac:dyDescent="0.25">
      <c r="I14662" s="199"/>
      <c r="J14662" s="199"/>
    </row>
    <row r="14663" spans="9:10" x14ac:dyDescent="0.25">
      <c r="I14663" s="199"/>
      <c r="J14663" s="199"/>
    </row>
    <row r="14664" spans="9:10" x14ac:dyDescent="0.25">
      <c r="I14664" s="199"/>
      <c r="J14664" s="199"/>
    </row>
    <row r="14665" spans="9:10" x14ac:dyDescent="0.25">
      <c r="I14665" s="199"/>
      <c r="J14665" s="199"/>
    </row>
    <row r="14666" spans="9:10" x14ac:dyDescent="0.25">
      <c r="I14666" s="199"/>
      <c r="J14666" s="199"/>
    </row>
    <row r="14667" spans="9:10" x14ac:dyDescent="0.25">
      <c r="I14667" s="199"/>
      <c r="J14667" s="199"/>
    </row>
    <row r="14668" spans="9:10" x14ac:dyDescent="0.25">
      <c r="I14668" s="199"/>
      <c r="J14668" s="199"/>
    </row>
    <row r="14669" spans="9:10" x14ac:dyDescent="0.25">
      <c r="I14669" s="199"/>
      <c r="J14669" s="199"/>
    </row>
    <row r="14670" spans="9:10" x14ac:dyDescent="0.25">
      <c r="I14670" s="199"/>
      <c r="J14670" s="199"/>
    </row>
    <row r="14671" spans="9:10" x14ac:dyDescent="0.25">
      <c r="I14671" s="199"/>
      <c r="J14671" s="199"/>
    </row>
    <row r="14672" spans="9:10" x14ac:dyDescent="0.25">
      <c r="I14672" s="199"/>
      <c r="J14672" s="199"/>
    </row>
    <row r="14673" spans="9:10" x14ac:dyDescent="0.25">
      <c r="I14673" s="199"/>
      <c r="J14673" s="199"/>
    </row>
    <row r="14674" spans="9:10" x14ac:dyDescent="0.25">
      <c r="I14674" s="199"/>
      <c r="J14674" s="199"/>
    </row>
    <row r="14675" spans="9:10" x14ac:dyDescent="0.25">
      <c r="I14675" s="199"/>
      <c r="J14675" s="199"/>
    </row>
    <row r="14676" spans="9:10" x14ac:dyDescent="0.25">
      <c r="I14676" s="199"/>
      <c r="J14676" s="199"/>
    </row>
    <row r="14677" spans="9:10" x14ac:dyDescent="0.25">
      <c r="I14677" s="199"/>
      <c r="J14677" s="199"/>
    </row>
    <row r="14678" spans="9:10" x14ac:dyDescent="0.25">
      <c r="I14678" s="199"/>
      <c r="J14678" s="199"/>
    </row>
    <row r="14679" spans="9:10" x14ac:dyDescent="0.25">
      <c r="I14679" s="199"/>
      <c r="J14679" s="199"/>
    </row>
    <row r="14680" spans="9:10" x14ac:dyDescent="0.25">
      <c r="I14680" s="199"/>
      <c r="J14680" s="199"/>
    </row>
    <row r="14681" spans="9:10" x14ac:dyDescent="0.25">
      <c r="I14681" s="199"/>
      <c r="J14681" s="199"/>
    </row>
    <row r="14682" spans="9:10" x14ac:dyDescent="0.25">
      <c r="I14682" s="199"/>
      <c r="J14682" s="199"/>
    </row>
    <row r="14683" spans="9:10" x14ac:dyDescent="0.25">
      <c r="I14683" s="199"/>
      <c r="J14683" s="199"/>
    </row>
    <row r="14684" spans="9:10" x14ac:dyDescent="0.25">
      <c r="I14684" s="199"/>
      <c r="J14684" s="199"/>
    </row>
    <row r="14685" spans="9:10" x14ac:dyDescent="0.25">
      <c r="I14685" s="199"/>
      <c r="J14685" s="199"/>
    </row>
    <row r="14686" spans="9:10" x14ac:dyDescent="0.25">
      <c r="I14686" s="199"/>
      <c r="J14686" s="199"/>
    </row>
    <row r="14687" spans="9:10" x14ac:dyDescent="0.25">
      <c r="I14687" s="199"/>
      <c r="J14687" s="199"/>
    </row>
    <row r="14688" spans="9:10" x14ac:dyDescent="0.25">
      <c r="I14688" s="199"/>
      <c r="J14688" s="199"/>
    </row>
    <row r="14689" spans="9:10" x14ac:dyDescent="0.25">
      <c r="I14689" s="199"/>
      <c r="J14689" s="199"/>
    </row>
    <row r="14690" spans="9:10" x14ac:dyDescent="0.25">
      <c r="I14690" s="199"/>
      <c r="J14690" s="199"/>
    </row>
    <row r="14691" spans="9:10" x14ac:dyDescent="0.25">
      <c r="I14691" s="199"/>
      <c r="J14691" s="199"/>
    </row>
    <row r="14692" spans="9:10" x14ac:dyDescent="0.25">
      <c r="I14692" s="199"/>
      <c r="J14692" s="199"/>
    </row>
    <row r="14693" spans="9:10" x14ac:dyDescent="0.25">
      <c r="I14693" s="199"/>
      <c r="J14693" s="199"/>
    </row>
    <row r="14694" spans="9:10" x14ac:dyDescent="0.25">
      <c r="I14694" s="199"/>
      <c r="J14694" s="199"/>
    </row>
    <row r="14695" spans="9:10" x14ac:dyDescent="0.25">
      <c r="I14695" s="199"/>
      <c r="J14695" s="199"/>
    </row>
    <row r="14696" spans="9:10" x14ac:dyDescent="0.25">
      <c r="I14696" s="199"/>
      <c r="J14696" s="199"/>
    </row>
    <row r="14697" spans="9:10" x14ac:dyDescent="0.25">
      <c r="I14697" s="199"/>
      <c r="J14697" s="199"/>
    </row>
    <row r="14698" spans="9:10" x14ac:dyDescent="0.25">
      <c r="I14698" s="199"/>
      <c r="J14698" s="199"/>
    </row>
    <row r="14699" spans="9:10" x14ac:dyDescent="0.25">
      <c r="I14699" s="199"/>
      <c r="J14699" s="199"/>
    </row>
    <row r="14700" spans="9:10" x14ac:dyDescent="0.25">
      <c r="I14700" s="199"/>
      <c r="J14700" s="199"/>
    </row>
    <row r="14701" spans="9:10" x14ac:dyDescent="0.25">
      <c r="I14701" s="199"/>
      <c r="J14701" s="199"/>
    </row>
    <row r="14702" spans="9:10" x14ac:dyDescent="0.25">
      <c r="I14702" s="199"/>
      <c r="J14702" s="199"/>
    </row>
    <row r="14703" spans="9:10" x14ac:dyDescent="0.25">
      <c r="I14703" s="199"/>
      <c r="J14703" s="199"/>
    </row>
    <row r="14704" spans="9:10" x14ac:dyDescent="0.25">
      <c r="I14704" s="199"/>
      <c r="J14704" s="199"/>
    </row>
    <row r="14705" spans="9:10" x14ac:dyDescent="0.25">
      <c r="I14705" s="199"/>
      <c r="J14705" s="199"/>
    </row>
    <row r="14706" spans="9:10" x14ac:dyDescent="0.25">
      <c r="I14706" s="199"/>
      <c r="J14706" s="199"/>
    </row>
    <row r="14707" spans="9:10" x14ac:dyDescent="0.25">
      <c r="I14707" s="199"/>
      <c r="J14707" s="199"/>
    </row>
    <row r="14708" spans="9:10" x14ac:dyDescent="0.25">
      <c r="I14708" s="199"/>
      <c r="J14708" s="199"/>
    </row>
    <row r="14709" spans="9:10" x14ac:dyDescent="0.25">
      <c r="I14709" s="199"/>
      <c r="J14709" s="199"/>
    </row>
    <row r="14710" spans="9:10" x14ac:dyDescent="0.25">
      <c r="I14710" s="199"/>
      <c r="J14710" s="199"/>
    </row>
    <row r="14711" spans="9:10" x14ac:dyDescent="0.25">
      <c r="I14711" s="199"/>
      <c r="J14711" s="199"/>
    </row>
    <row r="14712" spans="9:10" x14ac:dyDescent="0.25">
      <c r="I14712" s="199"/>
      <c r="J14712" s="199"/>
    </row>
    <row r="14713" spans="9:10" x14ac:dyDescent="0.25">
      <c r="I14713" s="199"/>
      <c r="J14713" s="199"/>
    </row>
    <row r="14714" spans="9:10" x14ac:dyDescent="0.25">
      <c r="I14714" s="199"/>
      <c r="J14714" s="199"/>
    </row>
    <row r="14715" spans="9:10" x14ac:dyDescent="0.25">
      <c r="I14715" s="199"/>
      <c r="J14715" s="199"/>
    </row>
    <row r="14716" spans="9:10" x14ac:dyDescent="0.25">
      <c r="I14716" s="199"/>
      <c r="J14716" s="199"/>
    </row>
    <row r="14717" spans="9:10" x14ac:dyDescent="0.25">
      <c r="I14717" s="199"/>
      <c r="J14717" s="199"/>
    </row>
    <row r="14718" spans="9:10" x14ac:dyDescent="0.25">
      <c r="I14718" s="199"/>
      <c r="J14718" s="199"/>
    </row>
    <row r="14719" spans="9:10" x14ac:dyDescent="0.25">
      <c r="I14719" s="199"/>
      <c r="J14719" s="199"/>
    </row>
    <row r="14720" spans="9:10" x14ac:dyDescent="0.25">
      <c r="I14720" s="199"/>
      <c r="J14720" s="199"/>
    </row>
    <row r="14721" spans="9:10" x14ac:dyDescent="0.25">
      <c r="I14721" s="199"/>
      <c r="J14721" s="199"/>
    </row>
    <row r="14722" spans="9:10" x14ac:dyDescent="0.25">
      <c r="I14722" s="199"/>
      <c r="J14722" s="199"/>
    </row>
    <row r="14723" spans="9:10" x14ac:dyDescent="0.25">
      <c r="I14723" s="199"/>
      <c r="J14723" s="199"/>
    </row>
    <row r="14724" spans="9:10" x14ac:dyDescent="0.25">
      <c r="I14724" s="199"/>
      <c r="J14724" s="199"/>
    </row>
    <row r="14725" spans="9:10" x14ac:dyDescent="0.25">
      <c r="I14725" s="199"/>
      <c r="J14725" s="199"/>
    </row>
    <row r="14726" spans="9:10" x14ac:dyDescent="0.25">
      <c r="I14726" s="199"/>
      <c r="J14726" s="199"/>
    </row>
    <row r="14727" spans="9:10" x14ac:dyDescent="0.25">
      <c r="I14727" s="199"/>
      <c r="J14727" s="199"/>
    </row>
    <row r="14728" spans="9:10" x14ac:dyDescent="0.25">
      <c r="I14728" s="199"/>
      <c r="J14728" s="199"/>
    </row>
    <row r="14729" spans="9:10" x14ac:dyDescent="0.25">
      <c r="I14729" s="199"/>
      <c r="J14729" s="199"/>
    </row>
    <row r="14730" spans="9:10" x14ac:dyDescent="0.25">
      <c r="I14730" s="199"/>
      <c r="J14730" s="199"/>
    </row>
    <row r="14731" spans="9:10" x14ac:dyDescent="0.25">
      <c r="I14731" s="199"/>
      <c r="J14731" s="199"/>
    </row>
    <row r="14732" spans="9:10" x14ac:dyDescent="0.25">
      <c r="I14732" s="199"/>
      <c r="J14732" s="199"/>
    </row>
    <row r="14733" spans="9:10" x14ac:dyDescent="0.25">
      <c r="I14733" s="199"/>
      <c r="J14733" s="199"/>
    </row>
    <row r="14734" spans="9:10" x14ac:dyDescent="0.25">
      <c r="I14734" s="199"/>
      <c r="J14734" s="199"/>
    </row>
    <row r="14735" spans="9:10" x14ac:dyDescent="0.25">
      <c r="I14735" s="199"/>
      <c r="J14735" s="199"/>
    </row>
    <row r="14736" spans="9:10" x14ac:dyDescent="0.25">
      <c r="I14736" s="199"/>
      <c r="J14736" s="199"/>
    </row>
    <row r="14737" spans="9:10" x14ac:dyDescent="0.25">
      <c r="I14737" s="199"/>
      <c r="J14737" s="199"/>
    </row>
    <row r="14738" spans="9:10" x14ac:dyDescent="0.25">
      <c r="I14738" s="199"/>
      <c r="J14738" s="199"/>
    </row>
    <row r="14739" spans="9:10" x14ac:dyDescent="0.25">
      <c r="I14739" s="199"/>
      <c r="J14739" s="199"/>
    </row>
    <row r="14740" spans="9:10" x14ac:dyDescent="0.25">
      <c r="I14740" s="199"/>
      <c r="J14740" s="199"/>
    </row>
    <row r="14741" spans="9:10" x14ac:dyDescent="0.25">
      <c r="I14741" s="199"/>
      <c r="J14741" s="199"/>
    </row>
    <row r="14742" spans="9:10" x14ac:dyDescent="0.25">
      <c r="I14742" s="199"/>
      <c r="J14742" s="199"/>
    </row>
    <row r="14743" spans="9:10" x14ac:dyDescent="0.25">
      <c r="I14743" s="199"/>
      <c r="J14743" s="199"/>
    </row>
    <row r="14744" spans="9:10" x14ac:dyDescent="0.25">
      <c r="I14744" s="199"/>
      <c r="J14744" s="199"/>
    </row>
    <row r="14745" spans="9:10" x14ac:dyDescent="0.25">
      <c r="I14745" s="199"/>
      <c r="J14745" s="199"/>
    </row>
    <row r="14746" spans="9:10" x14ac:dyDescent="0.25">
      <c r="I14746" s="199"/>
      <c r="J14746" s="199"/>
    </row>
    <row r="14747" spans="9:10" x14ac:dyDescent="0.25">
      <c r="I14747" s="199"/>
      <c r="J14747" s="199"/>
    </row>
    <row r="14748" spans="9:10" x14ac:dyDescent="0.25">
      <c r="I14748" s="199"/>
      <c r="J14748" s="199"/>
    </row>
    <row r="14749" spans="9:10" x14ac:dyDescent="0.25">
      <c r="I14749" s="199"/>
      <c r="J14749" s="199"/>
    </row>
    <row r="14750" spans="9:10" x14ac:dyDescent="0.25">
      <c r="I14750" s="199"/>
      <c r="J14750" s="199"/>
    </row>
    <row r="14751" spans="9:10" x14ac:dyDescent="0.25">
      <c r="I14751" s="199"/>
      <c r="J14751" s="199"/>
    </row>
    <row r="14752" spans="9:10" x14ac:dyDescent="0.25">
      <c r="I14752" s="199"/>
      <c r="J14752" s="199"/>
    </row>
    <row r="14753" spans="9:10" x14ac:dyDescent="0.25">
      <c r="I14753" s="199"/>
      <c r="J14753" s="199"/>
    </row>
    <row r="14754" spans="9:10" x14ac:dyDescent="0.25">
      <c r="I14754" s="199"/>
      <c r="J14754" s="199"/>
    </row>
    <row r="14755" spans="9:10" x14ac:dyDescent="0.25">
      <c r="I14755" s="199"/>
      <c r="J14755" s="199"/>
    </row>
    <row r="14756" spans="9:10" x14ac:dyDescent="0.25">
      <c r="I14756" s="199"/>
      <c r="J14756" s="199"/>
    </row>
    <row r="14757" spans="9:10" x14ac:dyDescent="0.25">
      <c r="I14757" s="199"/>
      <c r="J14757" s="199"/>
    </row>
    <row r="14758" spans="9:10" x14ac:dyDescent="0.25">
      <c r="I14758" s="199"/>
      <c r="J14758" s="199"/>
    </row>
    <row r="14759" spans="9:10" x14ac:dyDescent="0.25">
      <c r="I14759" s="199"/>
      <c r="J14759" s="199"/>
    </row>
    <row r="14760" spans="9:10" x14ac:dyDescent="0.25">
      <c r="I14760" s="199"/>
      <c r="J14760" s="199"/>
    </row>
    <row r="14761" spans="9:10" x14ac:dyDescent="0.25">
      <c r="I14761" s="199"/>
      <c r="J14761" s="199"/>
    </row>
    <row r="14762" spans="9:10" x14ac:dyDescent="0.25">
      <c r="I14762" s="199"/>
      <c r="J14762" s="199"/>
    </row>
    <row r="14763" spans="9:10" x14ac:dyDescent="0.25">
      <c r="I14763" s="199"/>
      <c r="J14763" s="199"/>
    </row>
    <row r="14764" spans="9:10" x14ac:dyDescent="0.25">
      <c r="I14764" s="199"/>
      <c r="J14764" s="199"/>
    </row>
    <row r="14765" spans="9:10" x14ac:dyDescent="0.25">
      <c r="I14765" s="199"/>
      <c r="J14765" s="199"/>
    </row>
    <row r="14766" spans="9:10" x14ac:dyDescent="0.25">
      <c r="I14766" s="199"/>
      <c r="J14766" s="199"/>
    </row>
    <row r="14767" spans="9:10" x14ac:dyDescent="0.25">
      <c r="I14767" s="199"/>
      <c r="J14767" s="199"/>
    </row>
    <row r="14768" spans="9:10" x14ac:dyDescent="0.25">
      <c r="I14768" s="199"/>
      <c r="J14768" s="199"/>
    </row>
    <row r="14769" spans="9:10" x14ac:dyDescent="0.25">
      <c r="I14769" s="199"/>
      <c r="J14769" s="199"/>
    </row>
    <row r="14770" spans="9:10" x14ac:dyDescent="0.25">
      <c r="I14770" s="199"/>
      <c r="J14770" s="199"/>
    </row>
    <row r="14771" spans="9:10" x14ac:dyDescent="0.25">
      <c r="I14771" s="199"/>
      <c r="J14771" s="199"/>
    </row>
    <row r="14772" spans="9:10" x14ac:dyDescent="0.25">
      <c r="I14772" s="199"/>
      <c r="J14772" s="199"/>
    </row>
    <row r="14773" spans="9:10" x14ac:dyDescent="0.25">
      <c r="I14773" s="199"/>
      <c r="J14773" s="199"/>
    </row>
    <row r="14774" spans="9:10" x14ac:dyDescent="0.25">
      <c r="I14774" s="199"/>
      <c r="J14774" s="199"/>
    </row>
    <row r="14775" spans="9:10" x14ac:dyDescent="0.25">
      <c r="I14775" s="199"/>
      <c r="J14775" s="199"/>
    </row>
    <row r="14776" spans="9:10" x14ac:dyDescent="0.25">
      <c r="I14776" s="199"/>
      <c r="J14776" s="199"/>
    </row>
    <row r="14777" spans="9:10" x14ac:dyDescent="0.25">
      <c r="I14777" s="199"/>
      <c r="J14777" s="199"/>
    </row>
    <row r="14778" spans="9:10" x14ac:dyDescent="0.25">
      <c r="I14778" s="199"/>
      <c r="J14778" s="199"/>
    </row>
    <row r="14779" spans="9:10" x14ac:dyDescent="0.25">
      <c r="I14779" s="199"/>
      <c r="J14779" s="199"/>
    </row>
    <row r="14780" spans="9:10" x14ac:dyDescent="0.25">
      <c r="I14780" s="199"/>
      <c r="J14780" s="199"/>
    </row>
    <row r="14781" spans="9:10" x14ac:dyDescent="0.25">
      <c r="I14781" s="199"/>
      <c r="J14781" s="199"/>
    </row>
    <row r="14782" spans="9:10" x14ac:dyDescent="0.25">
      <c r="I14782" s="199"/>
      <c r="J14782" s="199"/>
    </row>
    <row r="14783" spans="9:10" x14ac:dyDescent="0.25">
      <c r="I14783" s="199"/>
      <c r="J14783" s="199"/>
    </row>
    <row r="14784" spans="9:10" x14ac:dyDescent="0.25">
      <c r="I14784" s="199"/>
      <c r="J14784" s="199"/>
    </row>
    <row r="14785" spans="9:10" x14ac:dyDescent="0.25">
      <c r="I14785" s="199"/>
      <c r="J14785" s="199"/>
    </row>
    <row r="14786" spans="9:10" x14ac:dyDescent="0.25">
      <c r="I14786" s="199"/>
      <c r="J14786" s="199"/>
    </row>
    <row r="14787" spans="9:10" x14ac:dyDescent="0.25">
      <c r="I14787" s="199"/>
      <c r="J14787" s="199"/>
    </row>
    <row r="14788" spans="9:10" x14ac:dyDescent="0.25">
      <c r="I14788" s="199"/>
      <c r="J14788" s="199"/>
    </row>
    <row r="14789" spans="9:10" x14ac:dyDescent="0.25">
      <c r="I14789" s="199"/>
      <c r="J14789" s="199"/>
    </row>
    <row r="14790" spans="9:10" x14ac:dyDescent="0.25">
      <c r="I14790" s="199"/>
      <c r="J14790" s="199"/>
    </row>
    <row r="14791" spans="9:10" x14ac:dyDescent="0.25">
      <c r="I14791" s="199"/>
      <c r="J14791" s="199"/>
    </row>
    <row r="14792" spans="9:10" x14ac:dyDescent="0.25">
      <c r="I14792" s="199"/>
      <c r="J14792" s="199"/>
    </row>
    <row r="14793" spans="9:10" x14ac:dyDescent="0.25">
      <c r="I14793" s="199"/>
      <c r="J14793" s="199"/>
    </row>
    <row r="14794" spans="9:10" x14ac:dyDescent="0.25">
      <c r="I14794" s="199"/>
      <c r="J14794" s="199"/>
    </row>
    <row r="14795" spans="9:10" x14ac:dyDescent="0.25">
      <c r="I14795" s="199"/>
      <c r="J14795" s="199"/>
    </row>
    <row r="14796" spans="9:10" x14ac:dyDescent="0.25">
      <c r="I14796" s="199"/>
      <c r="J14796" s="199"/>
    </row>
    <row r="14797" spans="9:10" x14ac:dyDescent="0.25">
      <c r="I14797" s="199"/>
      <c r="J14797" s="199"/>
    </row>
    <row r="14798" spans="9:10" x14ac:dyDescent="0.25">
      <c r="I14798" s="199"/>
      <c r="J14798" s="199"/>
    </row>
    <row r="14799" spans="9:10" x14ac:dyDescent="0.25">
      <c r="I14799" s="199"/>
      <c r="J14799" s="199"/>
    </row>
    <row r="14800" spans="9:10" x14ac:dyDescent="0.25">
      <c r="I14800" s="199"/>
      <c r="J14800" s="199"/>
    </row>
    <row r="14801" spans="9:10" x14ac:dyDescent="0.25">
      <c r="I14801" s="199"/>
      <c r="J14801" s="199"/>
    </row>
    <row r="14802" spans="9:10" x14ac:dyDescent="0.25">
      <c r="I14802" s="199"/>
      <c r="J14802" s="199"/>
    </row>
    <row r="14803" spans="9:10" x14ac:dyDescent="0.25">
      <c r="I14803" s="199"/>
      <c r="J14803" s="199"/>
    </row>
    <row r="14804" spans="9:10" x14ac:dyDescent="0.25">
      <c r="I14804" s="199"/>
      <c r="J14804" s="199"/>
    </row>
    <row r="14805" spans="9:10" x14ac:dyDescent="0.25">
      <c r="I14805" s="199"/>
      <c r="J14805" s="199"/>
    </row>
    <row r="14806" spans="9:10" x14ac:dyDescent="0.25">
      <c r="I14806" s="199"/>
      <c r="J14806" s="199"/>
    </row>
    <row r="14807" spans="9:10" x14ac:dyDescent="0.25">
      <c r="I14807" s="199"/>
      <c r="J14807" s="199"/>
    </row>
    <row r="14808" spans="9:10" x14ac:dyDescent="0.25">
      <c r="I14808" s="199"/>
      <c r="J14808" s="199"/>
    </row>
    <row r="14809" spans="9:10" x14ac:dyDescent="0.25">
      <c r="I14809" s="199"/>
      <c r="J14809" s="199"/>
    </row>
    <row r="14810" spans="9:10" x14ac:dyDescent="0.25">
      <c r="I14810" s="199"/>
      <c r="J14810" s="199"/>
    </row>
    <row r="14811" spans="9:10" x14ac:dyDescent="0.25">
      <c r="I14811" s="199"/>
      <c r="J14811" s="199"/>
    </row>
    <row r="14812" spans="9:10" x14ac:dyDescent="0.25">
      <c r="I14812" s="199"/>
      <c r="J14812" s="199"/>
    </row>
    <row r="14813" spans="9:10" x14ac:dyDescent="0.25">
      <c r="I14813" s="199"/>
      <c r="J14813" s="199"/>
    </row>
    <row r="14814" spans="9:10" x14ac:dyDescent="0.25">
      <c r="I14814" s="199"/>
      <c r="J14814" s="199"/>
    </row>
    <row r="14815" spans="9:10" x14ac:dyDescent="0.25">
      <c r="I14815" s="199"/>
      <c r="J14815" s="199"/>
    </row>
    <row r="14816" spans="9:10" x14ac:dyDescent="0.25">
      <c r="I14816" s="199"/>
      <c r="J14816" s="199"/>
    </row>
    <row r="14817" spans="9:10" x14ac:dyDescent="0.25">
      <c r="I14817" s="199"/>
      <c r="J14817" s="199"/>
    </row>
    <row r="14818" spans="9:10" x14ac:dyDescent="0.25">
      <c r="I14818" s="199"/>
      <c r="J14818" s="199"/>
    </row>
    <row r="14819" spans="9:10" x14ac:dyDescent="0.25">
      <c r="I14819" s="199"/>
      <c r="J14819" s="199"/>
    </row>
    <row r="14820" spans="9:10" x14ac:dyDescent="0.25">
      <c r="I14820" s="199"/>
      <c r="J14820" s="199"/>
    </row>
    <row r="14821" spans="9:10" x14ac:dyDescent="0.25">
      <c r="I14821" s="199"/>
      <c r="J14821" s="199"/>
    </row>
    <row r="14822" spans="9:10" x14ac:dyDescent="0.25">
      <c r="I14822" s="199"/>
      <c r="J14822" s="199"/>
    </row>
    <row r="14823" spans="9:10" x14ac:dyDescent="0.25">
      <c r="I14823" s="199"/>
      <c r="J14823" s="199"/>
    </row>
    <row r="14824" spans="9:10" x14ac:dyDescent="0.25">
      <c r="I14824" s="199"/>
      <c r="J14824" s="199"/>
    </row>
    <row r="14825" spans="9:10" x14ac:dyDescent="0.25">
      <c r="I14825" s="199"/>
      <c r="J14825" s="199"/>
    </row>
    <row r="14826" spans="9:10" x14ac:dyDescent="0.25">
      <c r="I14826" s="199"/>
      <c r="J14826" s="199"/>
    </row>
    <row r="14827" spans="9:10" x14ac:dyDescent="0.25">
      <c r="I14827" s="199"/>
      <c r="J14827" s="199"/>
    </row>
    <row r="14828" spans="9:10" x14ac:dyDescent="0.25">
      <c r="I14828" s="199"/>
      <c r="J14828" s="199"/>
    </row>
    <row r="14829" spans="9:10" x14ac:dyDescent="0.25">
      <c r="I14829" s="199"/>
      <c r="J14829" s="199"/>
    </row>
    <row r="14830" spans="9:10" x14ac:dyDescent="0.25">
      <c r="I14830" s="199"/>
      <c r="J14830" s="199"/>
    </row>
    <row r="14831" spans="9:10" x14ac:dyDescent="0.25">
      <c r="I14831" s="199"/>
      <c r="J14831" s="199"/>
    </row>
    <row r="14832" spans="9:10" x14ac:dyDescent="0.25">
      <c r="I14832" s="199"/>
      <c r="J14832" s="199"/>
    </row>
    <row r="14833" spans="9:10" x14ac:dyDescent="0.25">
      <c r="I14833" s="199"/>
      <c r="J14833" s="199"/>
    </row>
    <row r="14834" spans="9:10" x14ac:dyDescent="0.25">
      <c r="I14834" s="199"/>
      <c r="J14834" s="199"/>
    </row>
    <row r="14835" spans="9:10" x14ac:dyDescent="0.25">
      <c r="I14835" s="199"/>
      <c r="J14835" s="199"/>
    </row>
    <row r="14836" spans="9:10" x14ac:dyDescent="0.25">
      <c r="I14836" s="199"/>
      <c r="J14836" s="199"/>
    </row>
    <row r="14837" spans="9:10" x14ac:dyDescent="0.25">
      <c r="I14837" s="199"/>
      <c r="J14837" s="199"/>
    </row>
    <row r="14838" spans="9:10" x14ac:dyDescent="0.25">
      <c r="I14838" s="199"/>
      <c r="J14838" s="199"/>
    </row>
    <row r="14839" spans="9:10" x14ac:dyDescent="0.25">
      <c r="I14839" s="199"/>
      <c r="J14839" s="199"/>
    </row>
    <row r="14840" spans="9:10" x14ac:dyDescent="0.25">
      <c r="I14840" s="199"/>
      <c r="J14840" s="199"/>
    </row>
    <row r="14841" spans="9:10" x14ac:dyDescent="0.25">
      <c r="I14841" s="199"/>
      <c r="J14841" s="199"/>
    </row>
    <row r="14842" spans="9:10" x14ac:dyDescent="0.25">
      <c r="I14842" s="199"/>
      <c r="J14842" s="199"/>
    </row>
    <row r="14843" spans="9:10" x14ac:dyDescent="0.25">
      <c r="I14843" s="199"/>
      <c r="J14843" s="199"/>
    </row>
    <row r="14844" spans="9:10" x14ac:dyDescent="0.25">
      <c r="I14844" s="199"/>
      <c r="J14844" s="199"/>
    </row>
    <row r="14845" spans="9:10" x14ac:dyDescent="0.25">
      <c r="I14845" s="199"/>
      <c r="J14845" s="199"/>
    </row>
    <row r="14846" spans="9:10" x14ac:dyDescent="0.25">
      <c r="I14846" s="199"/>
      <c r="J14846" s="199"/>
    </row>
    <row r="14847" spans="9:10" x14ac:dyDescent="0.25">
      <c r="I14847" s="199"/>
      <c r="J14847" s="199"/>
    </row>
    <row r="14848" spans="9:10" x14ac:dyDescent="0.25">
      <c r="I14848" s="199"/>
      <c r="J14848" s="199"/>
    </row>
    <row r="14849" spans="9:10" x14ac:dyDescent="0.25">
      <c r="I14849" s="199"/>
      <c r="J14849" s="199"/>
    </row>
    <row r="14850" spans="9:10" x14ac:dyDescent="0.25">
      <c r="I14850" s="199"/>
      <c r="J14850" s="199"/>
    </row>
    <row r="14851" spans="9:10" x14ac:dyDescent="0.25">
      <c r="I14851" s="199"/>
      <c r="J14851" s="199"/>
    </row>
    <row r="14852" spans="9:10" x14ac:dyDescent="0.25">
      <c r="I14852" s="199"/>
      <c r="J14852" s="199"/>
    </row>
    <row r="14853" spans="9:10" x14ac:dyDescent="0.25">
      <c r="I14853" s="199"/>
      <c r="J14853" s="199"/>
    </row>
    <row r="14854" spans="9:10" x14ac:dyDescent="0.25">
      <c r="I14854" s="199"/>
      <c r="J14854" s="199"/>
    </row>
    <row r="14855" spans="9:10" x14ac:dyDescent="0.25">
      <c r="I14855" s="199"/>
      <c r="J14855" s="199"/>
    </row>
    <row r="14856" spans="9:10" x14ac:dyDescent="0.25">
      <c r="I14856" s="199"/>
      <c r="J14856" s="199"/>
    </row>
    <row r="14857" spans="9:10" x14ac:dyDescent="0.25">
      <c r="I14857" s="199"/>
      <c r="J14857" s="199"/>
    </row>
    <row r="14858" spans="9:10" x14ac:dyDescent="0.25">
      <c r="I14858" s="199"/>
      <c r="J14858" s="199"/>
    </row>
    <row r="14859" spans="9:10" x14ac:dyDescent="0.25">
      <c r="I14859" s="199"/>
      <c r="J14859" s="199"/>
    </row>
    <row r="14860" spans="9:10" x14ac:dyDescent="0.25">
      <c r="I14860" s="199"/>
      <c r="J14860" s="199"/>
    </row>
    <row r="14861" spans="9:10" x14ac:dyDescent="0.25">
      <c r="I14861" s="199"/>
      <c r="J14861" s="199"/>
    </row>
    <row r="14862" spans="9:10" x14ac:dyDescent="0.25">
      <c r="I14862" s="199"/>
      <c r="J14862" s="199"/>
    </row>
    <row r="14863" spans="9:10" x14ac:dyDescent="0.25">
      <c r="I14863" s="199"/>
      <c r="J14863" s="199"/>
    </row>
    <row r="14864" spans="9:10" x14ac:dyDescent="0.25">
      <c r="I14864" s="199"/>
      <c r="J14864" s="199"/>
    </row>
    <row r="14865" spans="9:10" x14ac:dyDescent="0.25">
      <c r="I14865" s="199"/>
      <c r="J14865" s="199"/>
    </row>
    <row r="14866" spans="9:10" x14ac:dyDescent="0.25">
      <c r="I14866" s="199"/>
      <c r="J14866" s="199"/>
    </row>
    <row r="14867" spans="9:10" x14ac:dyDescent="0.25">
      <c r="I14867" s="199"/>
      <c r="J14867" s="199"/>
    </row>
    <row r="14868" spans="9:10" x14ac:dyDescent="0.25">
      <c r="I14868" s="199"/>
      <c r="J14868" s="199"/>
    </row>
    <row r="14869" spans="9:10" x14ac:dyDescent="0.25">
      <c r="I14869" s="199"/>
      <c r="J14869" s="199"/>
    </row>
    <row r="14870" spans="9:10" x14ac:dyDescent="0.25">
      <c r="I14870" s="199"/>
      <c r="J14870" s="199"/>
    </row>
    <row r="14871" spans="9:10" x14ac:dyDescent="0.25">
      <c r="I14871" s="199"/>
      <c r="J14871" s="199"/>
    </row>
    <row r="14872" spans="9:10" x14ac:dyDescent="0.25">
      <c r="I14872" s="199"/>
      <c r="J14872" s="199"/>
    </row>
    <row r="14873" spans="9:10" x14ac:dyDescent="0.25">
      <c r="I14873" s="199"/>
      <c r="J14873" s="199"/>
    </row>
    <row r="14874" spans="9:10" x14ac:dyDescent="0.25">
      <c r="I14874" s="199"/>
      <c r="J14874" s="199"/>
    </row>
    <row r="14875" spans="9:10" x14ac:dyDescent="0.25">
      <c r="I14875" s="199"/>
      <c r="J14875" s="199"/>
    </row>
    <row r="14876" spans="9:10" x14ac:dyDescent="0.25">
      <c r="I14876" s="199"/>
      <c r="J14876" s="199"/>
    </row>
    <row r="14877" spans="9:10" x14ac:dyDescent="0.25">
      <c r="I14877" s="199"/>
      <c r="J14877" s="199"/>
    </row>
    <row r="14878" spans="9:10" x14ac:dyDescent="0.25">
      <c r="I14878" s="199"/>
      <c r="J14878" s="199"/>
    </row>
    <row r="14879" spans="9:10" x14ac:dyDescent="0.25">
      <c r="I14879" s="199"/>
      <c r="J14879" s="199"/>
    </row>
    <row r="14880" spans="9:10" x14ac:dyDescent="0.25">
      <c r="I14880" s="199"/>
      <c r="J14880" s="199"/>
    </row>
    <row r="14881" spans="9:10" x14ac:dyDescent="0.25">
      <c r="I14881" s="199"/>
      <c r="J14881" s="199"/>
    </row>
    <row r="14882" spans="9:10" x14ac:dyDescent="0.25">
      <c r="I14882" s="199"/>
      <c r="J14882" s="199"/>
    </row>
    <row r="14883" spans="9:10" x14ac:dyDescent="0.25">
      <c r="I14883" s="199"/>
      <c r="J14883" s="199"/>
    </row>
    <row r="14884" spans="9:10" x14ac:dyDescent="0.25">
      <c r="I14884" s="199"/>
      <c r="J14884" s="199"/>
    </row>
    <row r="14885" spans="9:10" x14ac:dyDescent="0.25">
      <c r="I14885" s="199"/>
      <c r="J14885" s="199"/>
    </row>
    <row r="14886" spans="9:10" x14ac:dyDescent="0.25">
      <c r="I14886" s="199"/>
      <c r="J14886" s="199"/>
    </row>
    <row r="14887" spans="9:10" x14ac:dyDescent="0.25">
      <c r="I14887" s="199"/>
      <c r="J14887" s="199"/>
    </row>
    <row r="14888" spans="9:10" x14ac:dyDescent="0.25">
      <c r="I14888" s="199"/>
      <c r="J14888" s="199"/>
    </row>
    <row r="14889" spans="9:10" x14ac:dyDescent="0.25">
      <c r="I14889" s="199"/>
      <c r="J14889" s="199"/>
    </row>
    <row r="14890" spans="9:10" x14ac:dyDescent="0.25">
      <c r="I14890" s="199"/>
      <c r="J14890" s="199"/>
    </row>
    <row r="14891" spans="9:10" x14ac:dyDescent="0.25">
      <c r="I14891" s="199"/>
      <c r="J14891" s="199"/>
    </row>
    <row r="14892" spans="9:10" x14ac:dyDescent="0.25">
      <c r="I14892" s="199"/>
      <c r="J14892" s="199"/>
    </row>
    <row r="14893" spans="9:10" x14ac:dyDescent="0.25">
      <c r="I14893" s="199"/>
      <c r="J14893" s="199"/>
    </row>
    <row r="14894" spans="9:10" x14ac:dyDescent="0.25">
      <c r="I14894" s="199"/>
      <c r="J14894" s="199"/>
    </row>
    <row r="14895" spans="9:10" x14ac:dyDescent="0.25">
      <c r="I14895" s="199"/>
      <c r="J14895" s="199"/>
    </row>
    <row r="14896" spans="9:10" x14ac:dyDescent="0.25">
      <c r="I14896" s="199"/>
      <c r="J14896" s="199"/>
    </row>
    <row r="14897" spans="9:10" x14ac:dyDescent="0.25">
      <c r="I14897" s="199"/>
      <c r="J14897" s="199"/>
    </row>
    <row r="14898" spans="9:10" x14ac:dyDescent="0.25">
      <c r="I14898" s="199"/>
      <c r="J14898" s="199"/>
    </row>
    <row r="14899" spans="9:10" x14ac:dyDescent="0.25">
      <c r="I14899" s="199"/>
      <c r="J14899" s="199"/>
    </row>
    <row r="14900" spans="9:10" x14ac:dyDescent="0.25">
      <c r="I14900" s="199"/>
      <c r="J14900" s="199"/>
    </row>
    <row r="14901" spans="9:10" x14ac:dyDescent="0.25">
      <c r="I14901" s="199"/>
      <c r="J14901" s="199"/>
    </row>
    <row r="14902" spans="9:10" x14ac:dyDescent="0.25">
      <c r="I14902" s="199"/>
      <c r="J14902" s="199"/>
    </row>
    <row r="14903" spans="9:10" x14ac:dyDescent="0.25">
      <c r="I14903" s="199"/>
      <c r="J14903" s="199"/>
    </row>
    <row r="14904" spans="9:10" x14ac:dyDescent="0.25">
      <c r="I14904" s="199"/>
      <c r="J14904" s="199"/>
    </row>
    <row r="14905" spans="9:10" x14ac:dyDescent="0.25">
      <c r="I14905" s="199"/>
      <c r="J14905" s="199"/>
    </row>
    <row r="14906" spans="9:10" x14ac:dyDescent="0.25">
      <c r="I14906" s="199"/>
      <c r="J14906" s="199"/>
    </row>
    <row r="14907" spans="9:10" x14ac:dyDescent="0.25">
      <c r="I14907" s="199"/>
      <c r="J14907" s="199"/>
    </row>
    <row r="14908" spans="9:10" x14ac:dyDescent="0.25">
      <c r="I14908" s="199"/>
      <c r="J14908" s="199"/>
    </row>
    <row r="14909" spans="9:10" x14ac:dyDescent="0.25">
      <c r="I14909" s="199"/>
      <c r="J14909" s="199"/>
    </row>
    <row r="14910" spans="9:10" x14ac:dyDescent="0.25">
      <c r="I14910" s="199"/>
      <c r="J14910" s="199"/>
    </row>
    <row r="14911" spans="9:10" x14ac:dyDescent="0.25">
      <c r="I14911" s="199"/>
      <c r="J14911" s="199"/>
    </row>
    <row r="14912" spans="9:10" x14ac:dyDescent="0.25">
      <c r="I14912" s="199"/>
      <c r="J14912" s="199"/>
    </row>
    <row r="14913" spans="9:10" x14ac:dyDescent="0.25">
      <c r="I14913" s="199"/>
      <c r="J14913" s="199"/>
    </row>
    <row r="14914" spans="9:10" x14ac:dyDescent="0.25">
      <c r="I14914" s="199"/>
      <c r="J14914" s="199"/>
    </row>
    <row r="14915" spans="9:10" x14ac:dyDescent="0.25">
      <c r="I14915" s="199"/>
      <c r="J14915" s="199"/>
    </row>
    <row r="14916" spans="9:10" x14ac:dyDescent="0.25">
      <c r="I14916" s="199"/>
      <c r="J14916" s="199"/>
    </row>
    <row r="14917" spans="9:10" x14ac:dyDescent="0.25">
      <c r="I14917" s="199"/>
      <c r="J14917" s="199"/>
    </row>
    <row r="14918" spans="9:10" x14ac:dyDescent="0.25">
      <c r="I14918" s="199"/>
      <c r="J14918" s="199"/>
    </row>
    <row r="14919" spans="9:10" x14ac:dyDescent="0.25">
      <c r="I14919" s="199"/>
      <c r="J14919" s="199"/>
    </row>
    <row r="14920" spans="9:10" x14ac:dyDescent="0.25">
      <c r="I14920" s="199"/>
      <c r="J14920" s="199"/>
    </row>
    <row r="14921" spans="9:10" x14ac:dyDescent="0.25">
      <c r="I14921" s="199"/>
      <c r="J14921" s="199"/>
    </row>
    <row r="14922" spans="9:10" x14ac:dyDescent="0.25">
      <c r="I14922" s="199"/>
      <c r="J14922" s="199"/>
    </row>
    <row r="14923" spans="9:10" x14ac:dyDescent="0.25">
      <c r="I14923" s="199"/>
      <c r="J14923" s="199"/>
    </row>
    <row r="14924" spans="9:10" x14ac:dyDescent="0.25">
      <c r="I14924" s="199"/>
      <c r="J14924" s="199"/>
    </row>
    <row r="14925" spans="9:10" x14ac:dyDescent="0.25">
      <c r="I14925" s="199"/>
      <c r="J14925" s="199"/>
    </row>
    <row r="14926" spans="9:10" x14ac:dyDescent="0.25">
      <c r="I14926" s="199"/>
      <c r="J14926" s="199"/>
    </row>
    <row r="14927" spans="9:10" x14ac:dyDescent="0.25">
      <c r="I14927" s="199"/>
      <c r="J14927" s="199"/>
    </row>
    <row r="14928" spans="9:10" x14ac:dyDescent="0.25">
      <c r="I14928" s="199"/>
      <c r="J14928" s="199"/>
    </row>
    <row r="14929" spans="9:10" x14ac:dyDescent="0.25">
      <c r="I14929" s="199"/>
      <c r="J14929" s="199"/>
    </row>
    <row r="14930" spans="9:10" x14ac:dyDescent="0.25">
      <c r="I14930" s="199"/>
      <c r="J14930" s="199"/>
    </row>
    <row r="14931" spans="9:10" x14ac:dyDescent="0.25">
      <c r="I14931" s="199"/>
      <c r="J14931" s="199"/>
    </row>
    <row r="14932" spans="9:10" x14ac:dyDescent="0.25">
      <c r="I14932" s="199"/>
      <c r="J14932" s="199"/>
    </row>
    <row r="14933" spans="9:10" x14ac:dyDescent="0.25">
      <c r="I14933" s="199"/>
      <c r="J14933" s="199"/>
    </row>
    <row r="14934" spans="9:10" x14ac:dyDescent="0.25">
      <c r="I14934" s="199"/>
      <c r="J14934" s="199"/>
    </row>
    <row r="14935" spans="9:10" x14ac:dyDescent="0.25">
      <c r="I14935" s="199"/>
      <c r="J14935" s="199"/>
    </row>
    <row r="14936" spans="9:10" x14ac:dyDescent="0.25">
      <c r="I14936" s="199"/>
      <c r="J14936" s="199"/>
    </row>
    <row r="14937" spans="9:10" x14ac:dyDescent="0.25">
      <c r="I14937" s="199"/>
      <c r="J14937" s="199"/>
    </row>
    <row r="14938" spans="9:10" x14ac:dyDescent="0.25">
      <c r="I14938" s="199"/>
      <c r="J14938" s="199"/>
    </row>
    <row r="14939" spans="9:10" x14ac:dyDescent="0.25">
      <c r="I14939" s="199"/>
      <c r="J14939" s="199"/>
    </row>
    <row r="14940" spans="9:10" x14ac:dyDescent="0.25">
      <c r="I14940" s="199"/>
      <c r="J14940" s="199"/>
    </row>
    <row r="14941" spans="9:10" x14ac:dyDescent="0.25">
      <c r="I14941" s="199"/>
      <c r="J14941" s="199"/>
    </row>
    <row r="14942" spans="9:10" x14ac:dyDescent="0.25">
      <c r="I14942" s="199"/>
      <c r="J14942" s="199"/>
    </row>
    <row r="14943" spans="9:10" x14ac:dyDescent="0.25">
      <c r="I14943" s="199"/>
      <c r="J14943" s="199"/>
    </row>
    <row r="14944" spans="9:10" x14ac:dyDescent="0.25">
      <c r="I14944" s="199"/>
      <c r="J14944" s="199"/>
    </row>
    <row r="14945" spans="9:10" x14ac:dyDescent="0.25">
      <c r="I14945" s="199"/>
      <c r="J14945" s="199"/>
    </row>
    <row r="14946" spans="9:10" x14ac:dyDescent="0.25">
      <c r="I14946" s="199"/>
      <c r="J14946" s="199"/>
    </row>
    <row r="14947" spans="9:10" x14ac:dyDescent="0.25">
      <c r="I14947" s="199"/>
      <c r="J14947" s="199"/>
    </row>
    <row r="14948" spans="9:10" x14ac:dyDescent="0.25">
      <c r="I14948" s="199"/>
      <c r="J14948" s="199"/>
    </row>
    <row r="14949" spans="9:10" x14ac:dyDescent="0.25">
      <c r="I14949" s="199"/>
      <c r="J14949" s="199"/>
    </row>
    <row r="14950" spans="9:10" x14ac:dyDescent="0.25">
      <c r="I14950" s="199"/>
      <c r="J14950" s="199"/>
    </row>
    <row r="14951" spans="9:10" x14ac:dyDescent="0.25">
      <c r="I14951" s="199"/>
      <c r="J14951" s="199"/>
    </row>
    <row r="14952" spans="9:10" x14ac:dyDescent="0.25">
      <c r="I14952" s="199"/>
      <c r="J14952" s="199"/>
    </row>
    <row r="14953" spans="9:10" x14ac:dyDescent="0.25">
      <c r="I14953" s="199"/>
      <c r="J14953" s="199"/>
    </row>
    <row r="14954" spans="9:10" x14ac:dyDescent="0.25">
      <c r="I14954" s="199"/>
      <c r="J14954" s="199"/>
    </row>
    <row r="14955" spans="9:10" x14ac:dyDescent="0.25">
      <c r="I14955" s="199"/>
      <c r="J14955" s="199"/>
    </row>
    <row r="14956" spans="9:10" x14ac:dyDescent="0.25">
      <c r="I14956" s="199"/>
      <c r="J14956" s="199"/>
    </row>
    <row r="14957" spans="9:10" x14ac:dyDescent="0.25">
      <c r="I14957" s="199"/>
      <c r="J14957" s="199"/>
    </row>
    <row r="14958" spans="9:10" x14ac:dyDescent="0.25">
      <c r="I14958" s="199"/>
      <c r="J14958" s="199"/>
    </row>
    <row r="14959" spans="9:10" x14ac:dyDescent="0.25">
      <c r="I14959" s="199"/>
      <c r="J14959" s="199"/>
    </row>
    <row r="14960" spans="9:10" x14ac:dyDescent="0.25">
      <c r="I14960" s="199"/>
      <c r="J14960" s="199"/>
    </row>
    <row r="14961" spans="9:10" x14ac:dyDescent="0.25">
      <c r="I14961" s="199"/>
      <c r="J14961" s="199"/>
    </row>
    <row r="14962" spans="9:10" x14ac:dyDescent="0.25">
      <c r="I14962" s="199"/>
      <c r="J14962" s="199"/>
    </row>
    <row r="14963" spans="9:10" x14ac:dyDescent="0.25">
      <c r="I14963" s="199"/>
      <c r="J14963" s="199"/>
    </row>
    <row r="14964" spans="9:10" x14ac:dyDescent="0.25">
      <c r="I14964" s="199"/>
      <c r="J14964" s="199"/>
    </row>
    <row r="14965" spans="9:10" x14ac:dyDescent="0.25">
      <c r="I14965" s="199"/>
      <c r="J14965" s="199"/>
    </row>
    <row r="14966" spans="9:10" x14ac:dyDescent="0.25">
      <c r="I14966" s="199"/>
      <c r="J14966" s="199"/>
    </row>
    <row r="14967" spans="9:10" x14ac:dyDescent="0.25">
      <c r="I14967" s="199"/>
      <c r="J14967" s="199"/>
    </row>
    <row r="14968" spans="9:10" x14ac:dyDescent="0.25">
      <c r="I14968" s="199"/>
      <c r="J14968" s="199"/>
    </row>
    <row r="14969" spans="9:10" x14ac:dyDescent="0.25">
      <c r="I14969" s="199"/>
      <c r="J14969" s="199"/>
    </row>
    <row r="14970" spans="9:10" x14ac:dyDescent="0.25">
      <c r="I14970" s="199"/>
      <c r="J14970" s="199"/>
    </row>
    <row r="14971" spans="9:10" x14ac:dyDescent="0.25">
      <c r="I14971" s="199"/>
      <c r="J14971" s="199"/>
    </row>
    <row r="14972" spans="9:10" x14ac:dyDescent="0.25">
      <c r="I14972" s="199"/>
      <c r="J14972" s="199"/>
    </row>
    <row r="14973" spans="9:10" x14ac:dyDescent="0.25">
      <c r="I14973" s="199"/>
      <c r="J14973" s="199"/>
    </row>
    <row r="14974" spans="9:10" x14ac:dyDescent="0.25">
      <c r="I14974" s="199"/>
      <c r="J14974" s="199"/>
    </row>
    <row r="14975" spans="9:10" x14ac:dyDescent="0.25">
      <c r="I14975" s="199"/>
      <c r="J14975" s="199"/>
    </row>
    <row r="14976" spans="9:10" x14ac:dyDescent="0.25">
      <c r="I14976" s="199"/>
      <c r="J14976" s="199"/>
    </row>
    <row r="14977" spans="9:10" x14ac:dyDescent="0.25">
      <c r="I14977" s="199"/>
      <c r="J14977" s="199"/>
    </row>
    <row r="14978" spans="9:10" x14ac:dyDescent="0.25">
      <c r="I14978" s="199"/>
      <c r="J14978" s="199"/>
    </row>
    <row r="14979" spans="9:10" x14ac:dyDescent="0.25">
      <c r="I14979" s="199"/>
      <c r="J14979" s="199"/>
    </row>
    <row r="14980" spans="9:10" x14ac:dyDescent="0.25">
      <c r="I14980" s="199"/>
      <c r="J14980" s="199"/>
    </row>
    <row r="14981" spans="9:10" x14ac:dyDescent="0.25">
      <c r="I14981" s="199"/>
      <c r="J14981" s="199"/>
    </row>
    <row r="14982" spans="9:10" x14ac:dyDescent="0.25">
      <c r="I14982" s="199"/>
      <c r="J14982" s="199"/>
    </row>
    <row r="14983" spans="9:10" x14ac:dyDescent="0.25">
      <c r="I14983" s="199"/>
      <c r="J14983" s="199"/>
    </row>
    <row r="14984" spans="9:10" x14ac:dyDescent="0.25">
      <c r="I14984" s="199"/>
      <c r="J14984" s="199"/>
    </row>
    <row r="14985" spans="9:10" x14ac:dyDescent="0.25">
      <c r="I14985" s="199"/>
      <c r="J14985" s="199"/>
    </row>
    <row r="14986" spans="9:10" x14ac:dyDescent="0.25">
      <c r="I14986" s="199"/>
      <c r="J14986" s="199"/>
    </row>
    <row r="14987" spans="9:10" x14ac:dyDescent="0.25">
      <c r="I14987" s="199"/>
      <c r="J14987" s="199"/>
    </row>
    <row r="14988" spans="9:10" x14ac:dyDescent="0.25">
      <c r="I14988" s="199"/>
      <c r="J14988" s="199"/>
    </row>
    <row r="14989" spans="9:10" x14ac:dyDescent="0.25">
      <c r="I14989" s="199"/>
      <c r="J14989" s="199"/>
    </row>
    <row r="14990" spans="9:10" x14ac:dyDescent="0.25">
      <c r="I14990" s="199"/>
      <c r="J14990" s="199"/>
    </row>
    <row r="14991" spans="9:10" x14ac:dyDescent="0.25">
      <c r="I14991" s="199"/>
      <c r="J14991" s="199"/>
    </row>
    <row r="14992" spans="9:10" x14ac:dyDescent="0.25">
      <c r="I14992" s="199"/>
      <c r="J14992" s="199"/>
    </row>
    <row r="14993" spans="9:10" x14ac:dyDescent="0.25">
      <c r="I14993" s="199"/>
      <c r="J14993" s="199"/>
    </row>
    <row r="14994" spans="9:10" x14ac:dyDescent="0.25">
      <c r="I14994" s="199"/>
      <c r="J14994" s="199"/>
    </row>
    <row r="14995" spans="9:10" x14ac:dyDescent="0.25">
      <c r="I14995" s="199"/>
      <c r="J14995" s="199"/>
    </row>
    <row r="14996" spans="9:10" x14ac:dyDescent="0.25">
      <c r="I14996" s="199"/>
      <c r="J14996" s="199"/>
    </row>
    <row r="14997" spans="9:10" x14ac:dyDescent="0.25">
      <c r="I14997" s="199"/>
      <c r="J14997" s="199"/>
    </row>
    <row r="14998" spans="9:10" x14ac:dyDescent="0.25">
      <c r="I14998" s="199"/>
      <c r="J14998" s="199"/>
    </row>
    <row r="14999" spans="9:10" x14ac:dyDescent="0.25">
      <c r="I14999" s="199"/>
      <c r="J14999" s="199"/>
    </row>
    <row r="15000" spans="9:10" x14ac:dyDescent="0.25">
      <c r="I15000" s="199"/>
      <c r="J15000" s="199"/>
    </row>
    <row r="15001" spans="9:10" x14ac:dyDescent="0.25">
      <c r="I15001" s="199"/>
      <c r="J15001" s="199"/>
    </row>
    <row r="15002" spans="9:10" x14ac:dyDescent="0.25">
      <c r="I15002" s="199"/>
      <c r="J15002" s="199"/>
    </row>
    <row r="15003" spans="9:10" x14ac:dyDescent="0.25">
      <c r="I15003" s="199"/>
      <c r="J15003" s="199"/>
    </row>
    <row r="15004" spans="9:10" x14ac:dyDescent="0.25">
      <c r="I15004" s="199"/>
      <c r="J15004" s="199"/>
    </row>
    <row r="15005" spans="9:10" x14ac:dyDescent="0.25">
      <c r="I15005" s="199"/>
      <c r="J15005" s="199"/>
    </row>
    <row r="15006" spans="9:10" x14ac:dyDescent="0.25">
      <c r="I15006" s="199"/>
      <c r="J15006" s="199"/>
    </row>
    <row r="15007" spans="9:10" x14ac:dyDescent="0.25">
      <c r="I15007" s="199"/>
      <c r="J15007" s="199"/>
    </row>
    <row r="15008" spans="9:10" x14ac:dyDescent="0.25">
      <c r="I15008" s="199"/>
      <c r="J15008" s="199"/>
    </row>
    <row r="15009" spans="9:10" x14ac:dyDescent="0.25">
      <c r="I15009" s="199"/>
      <c r="J15009" s="199"/>
    </row>
    <row r="15010" spans="9:10" x14ac:dyDescent="0.25">
      <c r="I15010" s="199"/>
      <c r="J15010" s="199"/>
    </row>
    <row r="15011" spans="9:10" x14ac:dyDescent="0.25">
      <c r="I15011" s="199"/>
      <c r="J15011" s="199"/>
    </row>
    <row r="15012" spans="9:10" x14ac:dyDescent="0.25">
      <c r="I15012" s="199"/>
      <c r="J15012" s="199"/>
    </row>
    <row r="15013" spans="9:10" x14ac:dyDescent="0.25">
      <c r="I15013" s="199"/>
      <c r="J15013" s="199"/>
    </row>
    <row r="15014" spans="9:10" x14ac:dyDescent="0.25">
      <c r="I15014" s="199"/>
      <c r="J15014" s="199"/>
    </row>
    <row r="15015" spans="9:10" x14ac:dyDescent="0.25">
      <c r="I15015" s="199"/>
      <c r="J15015" s="199"/>
    </row>
    <row r="15016" spans="9:10" x14ac:dyDescent="0.25">
      <c r="I15016" s="199"/>
      <c r="J15016" s="199"/>
    </row>
    <row r="15017" spans="9:10" x14ac:dyDescent="0.25">
      <c r="I15017" s="199"/>
      <c r="J15017" s="199"/>
    </row>
    <row r="15018" spans="9:10" x14ac:dyDescent="0.25">
      <c r="I15018" s="199"/>
      <c r="J15018" s="199"/>
    </row>
    <row r="15019" spans="9:10" x14ac:dyDescent="0.25">
      <c r="I15019" s="199"/>
      <c r="J15019" s="199"/>
    </row>
    <row r="15020" spans="9:10" x14ac:dyDescent="0.25">
      <c r="I15020" s="199"/>
      <c r="J15020" s="199"/>
    </row>
    <row r="15021" spans="9:10" x14ac:dyDescent="0.25">
      <c r="I15021" s="199"/>
      <c r="J15021" s="199"/>
    </row>
    <row r="15022" spans="9:10" x14ac:dyDescent="0.25">
      <c r="I15022" s="199"/>
      <c r="J15022" s="199"/>
    </row>
    <row r="15023" spans="9:10" x14ac:dyDescent="0.25">
      <c r="I15023" s="199"/>
      <c r="J15023" s="199"/>
    </row>
    <row r="15024" spans="9:10" x14ac:dyDescent="0.25">
      <c r="I15024" s="199"/>
      <c r="J15024" s="199"/>
    </row>
    <row r="15025" spans="9:10" x14ac:dyDescent="0.25">
      <c r="I15025" s="199"/>
      <c r="J15025" s="199"/>
    </row>
    <row r="15026" spans="9:10" x14ac:dyDescent="0.25">
      <c r="I15026" s="199"/>
      <c r="J15026" s="199"/>
    </row>
    <row r="15027" spans="9:10" x14ac:dyDescent="0.25">
      <c r="I15027" s="199"/>
      <c r="J15027" s="199"/>
    </row>
    <row r="15028" spans="9:10" x14ac:dyDescent="0.25">
      <c r="I15028" s="199"/>
      <c r="J15028" s="199"/>
    </row>
    <row r="15029" spans="9:10" x14ac:dyDescent="0.25">
      <c r="I15029" s="199"/>
      <c r="J15029" s="199"/>
    </row>
    <row r="15030" spans="9:10" x14ac:dyDescent="0.25">
      <c r="I15030" s="199"/>
      <c r="J15030" s="199"/>
    </row>
    <row r="15031" spans="9:10" x14ac:dyDescent="0.25">
      <c r="I15031" s="199"/>
      <c r="J15031" s="199"/>
    </row>
    <row r="15032" spans="9:10" x14ac:dyDescent="0.25">
      <c r="I15032" s="199"/>
      <c r="J15032" s="199"/>
    </row>
    <row r="15033" spans="9:10" x14ac:dyDescent="0.25">
      <c r="I15033" s="199"/>
      <c r="J15033" s="199"/>
    </row>
    <row r="15034" spans="9:10" x14ac:dyDescent="0.25">
      <c r="I15034" s="199"/>
      <c r="J15034" s="199"/>
    </row>
    <row r="15035" spans="9:10" x14ac:dyDescent="0.25">
      <c r="I15035" s="199"/>
      <c r="J15035" s="199"/>
    </row>
    <row r="15036" spans="9:10" x14ac:dyDescent="0.25">
      <c r="I15036" s="199"/>
      <c r="J15036" s="199"/>
    </row>
    <row r="15037" spans="9:10" x14ac:dyDescent="0.25">
      <c r="I15037" s="199"/>
      <c r="J15037" s="199"/>
    </row>
    <row r="15038" spans="9:10" x14ac:dyDescent="0.25">
      <c r="I15038" s="199"/>
      <c r="J15038" s="199"/>
    </row>
    <row r="15039" spans="9:10" x14ac:dyDescent="0.25">
      <c r="I15039" s="199"/>
      <c r="J15039" s="199"/>
    </row>
    <row r="15040" spans="9:10" x14ac:dyDescent="0.25">
      <c r="I15040" s="199"/>
      <c r="J15040" s="199"/>
    </row>
    <row r="15041" spans="9:10" x14ac:dyDescent="0.25">
      <c r="I15041" s="199"/>
      <c r="J15041" s="199"/>
    </row>
    <row r="15042" spans="9:10" x14ac:dyDescent="0.25">
      <c r="I15042" s="199"/>
      <c r="J15042" s="199"/>
    </row>
    <row r="15043" spans="9:10" x14ac:dyDescent="0.25">
      <c r="I15043" s="199"/>
      <c r="J15043" s="199"/>
    </row>
    <row r="15044" spans="9:10" x14ac:dyDescent="0.25">
      <c r="I15044" s="199"/>
      <c r="J15044" s="199"/>
    </row>
    <row r="15045" spans="9:10" x14ac:dyDescent="0.25">
      <c r="I15045" s="199"/>
      <c r="J15045" s="199"/>
    </row>
    <row r="15046" spans="9:10" x14ac:dyDescent="0.25">
      <c r="I15046" s="199"/>
      <c r="J15046" s="199"/>
    </row>
    <row r="15047" spans="9:10" x14ac:dyDescent="0.25">
      <c r="I15047" s="199"/>
      <c r="J15047" s="199"/>
    </row>
    <row r="15048" spans="9:10" x14ac:dyDescent="0.25">
      <c r="I15048" s="199"/>
      <c r="J15048" s="199"/>
    </row>
    <row r="15049" spans="9:10" x14ac:dyDescent="0.25">
      <c r="I15049" s="199"/>
      <c r="J15049" s="199"/>
    </row>
    <row r="15050" spans="9:10" x14ac:dyDescent="0.25">
      <c r="I15050" s="199"/>
      <c r="J15050" s="199"/>
    </row>
    <row r="15051" spans="9:10" x14ac:dyDescent="0.25">
      <c r="I15051" s="199"/>
      <c r="J15051" s="199"/>
    </row>
    <row r="15052" spans="9:10" x14ac:dyDescent="0.25">
      <c r="I15052" s="199"/>
      <c r="J15052" s="199"/>
    </row>
    <row r="15053" spans="9:10" x14ac:dyDescent="0.25">
      <c r="I15053" s="199"/>
      <c r="J15053" s="199"/>
    </row>
    <row r="15054" spans="9:10" x14ac:dyDescent="0.25">
      <c r="I15054" s="199"/>
      <c r="J15054" s="199"/>
    </row>
    <row r="15055" spans="9:10" x14ac:dyDescent="0.25">
      <c r="I15055" s="199"/>
      <c r="J15055" s="199"/>
    </row>
    <row r="15056" spans="9:10" x14ac:dyDescent="0.25">
      <c r="I15056" s="199"/>
      <c r="J15056" s="199"/>
    </row>
    <row r="15057" spans="9:10" x14ac:dyDescent="0.25">
      <c r="I15057" s="199"/>
      <c r="J15057" s="199"/>
    </row>
    <row r="15058" spans="9:10" x14ac:dyDescent="0.25">
      <c r="I15058" s="199"/>
      <c r="J15058" s="199"/>
    </row>
    <row r="15059" spans="9:10" x14ac:dyDescent="0.25">
      <c r="I15059" s="199"/>
      <c r="J15059" s="199"/>
    </row>
    <row r="15060" spans="9:10" x14ac:dyDescent="0.25">
      <c r="I15060" s="199"/>
      <c r="J15060" s="199"/>
    </row>
    <row r="15061" spans="9:10" x14ac:dyDescent="0.25">
      <c r="I15061" s="199"/>
      <c r="J15061" s="199"/>
    </row>
    <row r="15062" spans="9:10" x14ac:dyDescent="0.25">
      <c r="I15062" s="199"/>
      <c r="J15062" s="199"/>
    </row>
    <row r="15063" spans="9:10" x14ac:dyDescent="0.25">
      <c r="I15063" s="199"/>
      <c r="J15063" s="199"/>
    </row>
    <row r="15064" spans="9:10" x14ac:dyDescent="0.25">
      <c r="I15064" s="199"/>
      <c r="J15064" s="199"/>
    </row>
    <row r="15065" spans="9:10" x14ac:dyDescent="0.25">
      <c r="I15065" s="199"/>
      <c r="J15065" s="199"/>
    </row>
    <row r="15066" spans="9:10" x14ac:dyDescent="0.25">
      <c r="I15066" s="199"/>
      <c r="J15066" s="199"/>
    </row>
    <row r="15067" spans="9:10" x14ac:dyDescent="0.25">
      <c r="I15067" s="199"/>
      <c r="J15067" s="199"/>
    </row>
    <row r="15068" spans="9:10" x14ac:dyDescent="0.25">
      <c r="I15068" s="199"/>
      <c r="J15068" s="199"/>
    </row>
    <row r="15069" spans="9:10" x14ac:dyDescent="0.25">
      <c r="I15069" s="199"/>
      <c r="J15069" s="199"/>
    </row>
    <row r="15070" spans="9:10" x14ac:dyDescent="0.25">
      <c r="I15070" s="199"/>
      <c r="J15070" s="199"/>
    </row>
    <row r="15071" spans="9:10" x14ac:dyDescent="0.25">
      <c r="I15071" s="199"/>
      <c r="J15071" s="199"/>
    </row>
    <row r="15072" spans="9:10" x14ac:dyDescent="0.25">
      <c r="I15072" s="199"/>
      <c r="J15072" s="199"/>
    </row>
    <row r="15073" spans="9:10" x14ac:dyDescent="0.25">
      <c r="I15073" s="199"/>
      <c r="J15073" s="199"/>
    </row>
    <row r="15074" spans="9:10" x14ac:dyDescent="0.25">
      <c r="I15074" s="199"/>
      <c r="J15074" s="199"/>
    </row>
    <row r="15075" spans="9:10" x14ac:dyDescent="0.25">
      <c r="I15075" s="199"/>
      <c r="J15075" s="199"/>
    </row>
    <row r="15076" spans="9:10" x14ac:dyDescent="0.25">
      <c r="I15076" s="199"/>
      <c r="J15076" s="199"/>
    </row>
    <row r="15077" spans="9:10" x14ac:dyDescent="0.25">
      <c r="I15077" s="199"/>
      <c r="J15077" s="199"/>
    </row>
    <row r="15078" spans="9:10" x14ac:dyDescent="0.25">
      <c r="I15078" s="199"/>
      <c r="J15078" s="199"/>
    </row>
    <row r="15079" spans="9:10" x14ac:dyDescent="0.25">
      <c r="I15079" s="199"/>
      <c r="J15079" s="199"/>
    </row>
    <row r="15080" spans="9:10" x14ac:dyDescent="0.25">
      <c r="I15080" s="199"/>
      <c r="J15080" s="199"/>
    </row>
    <row r="15081" spans="9:10" x14ac:dyDescent="0.25">
      <c r="I15081" s="199"/>
      <c r="J15081" s="199"/>
    </row>
    <row r="15082" spans="9:10" x14ac:dyDescent="0.25">
      <c r="I15082" s="199"/>
      <c r="J15082" s="199"/>
    </row>
    <row r="15083" spans="9:10" x14ac:dyDescent="0.25">
      <c r="I15083" s="199"/>
      <c r="J15083" s="199"/>
    </row>
    <row r="15084" spans="9:10" x14ac:dyDescent="0.25">
      <c r="I15084" s="199"/>
      <c r="J15084" s="199"/>
    </row>
    <row r="15085" spans="9:10" x14ac:dyDescent="0.25">
      <c r="I15085" s="199"/>
      <c r="J15085" s="199"/>
    </row>
    <row r="15086" spans="9:10" x14ac:dyDescent="0.25">
      <c r="I15086" s="199"/>
      <c r="J15086" s="199"/>
    </row>
    <row r="15087" spans="9:10" x14ac:dyDescent="0.25">
      <c r="I15087" s="199"/>
      <c r="J15087" s="199"/>
    </row>
    <row r="15088" spans="9:10" x14ac:dyDescent="0.25">
      <c r="I15088" s="199"/>
      <c r="J15088" s="199"/>
    </row>
    <row r="15089" spans="9:10" x14ac:dyDescent="0.25">
      <c r="I15089" s="199"/>
      <c r="J15089" s="199"/>
    </row>
    <row r="15090" spans="9:10" x14ac:dyDescent="0.25">
      <c r="I15090" s="199"/>
      <c r="J15090" s="199"/>
    </row>
    <row r="15091" spans="9:10" x14ac:dyDescent="0.25">
      <c r="I15091" s="199"/>
      <c r="J15091" s="199"/>
    </row>
    <row r="15092" spans="9:10" x14ac:dyDescent="0.25">
      <c r="I15092" s="199"/>
      <c r="J15092" s="199"/>
    </row>
    <row r="15093" spans="9:10" x14ac:dyDescent="0.25">
      <c r="I15093" s="199"/>
      <c r="J15093" s="199"/>
    </row>
    <row r="15094" spans="9:10" x14ac:dyDescent="0.25">
      <c r="I15094" s="199"/>
      <c r="J15094" s="199"/>
    </row>
    <row r="15095" spans="9:10" x14ac:dyDescent="0.25">
      <c r="I15095" s="199"/>
      <c r="J15095" s="199"/>
    </row>
    <row r="15096" spans="9:10" x14ac:dyDescent="0.25">
      <c r="I15096" s="199"/>
      <c r="J15096" s="199"/>
    </row>
    <row r="15097" spans="9:10" x14ac:dyDescent="0.25">
      <c r="I15097" s="199"/>
      <c r="J15097" s="199"/>
    </row>
    <row r="15098" spans="9:10" x14ac:dyDescent="0.25">
      <c r="I15098" s="199"/>
      <c r="J15098" s="199"/>
    </row>
    <row r="15099" spans="9:10" x14ac:dyDescent="0.25">
      <c r="I15099" s="199"/>
      <c r="J15099" s="199"/>
    </row>
    <row r="15100" spans="9:10" x14ac:dyDescent="0.25">
      <c r="I15100" s="199"/>
      <c r="J15100" s="199"/>
    </row>
    <row r="15101" spans="9:10" x14ac:dyDescent="0.25">
      <c r="I15101" s="199"/>
      <c r="J15101" s="199"/>
    </row>
    <row r="15102" spans="9:10" x14ac:dyDescent="0.25">
      <c r="I15102" s="199"/>
      <c r="J15102" s="199"/>
    </row>
    <row r="15103" spans="9:10" x14ac:dyDescent="0.25">
      <c r="I15103" s="199"/>
      <c r="J15103" s="199"/>
    </row>
    <row r="15104" spans="9:10" x14ac:dyDescent="0.25">
      <c r="I15104" s="199"/>
      <c r="J15104" s="199"/>
    </row>
    <row r="15105" spans="9:10" x14ac:dyDescent="0.25">
      <c r="I15105" s="199"/>
      <c r="J15105" s="199"/>
    </row>
    <row r="15106" spans="9:10" x14ac:dyDescent="0.25">
      <c r="I15106" s="199"/>
      <c r="J15106" s="199"/>
    </row>
    <row r="15107" spans="9:10" x14ac:dyDescent="0.25">
      <c r="I15107" s="199"/>
      <c r="J15107" s="199"/>
    </row>
    <row r="15108" spans="9:10" x14ac:dyDescent="0.25">
      <c r="I15108" s="199"/>
      <c r="J15108" s="199"/>
    </row>
    <row r="15109" spans="9:10" x14ac:dyDescent="0.25">
      <c r="I15109" s="199"/>
      <c r="J15109" s="199"/>
    </row>
    <row r="15110" spans="9:10" x14ac:dyDescent="0.25">
      <c r="I15110" s="199"/>
      <c r="J15110" s="199"/>
    </row>
    <row r="15111" spans="9:10" x14ac:dyDescent="0.25">
      <c r="I15111" s="199"/>
      <c r="J15111" s="199"/>
    </row>
    <row r="15112" spans="9:10" x14ac:dyDescent="0.25">
      <c r="I15112" s="199"/>
      <c r="J15112" s="199"/>
    </row>
    <row r="15113" spans="9:10" x14ac:dyDescent="0.25">
      <c r="I15113" s="199"/>
      <c r="J15113" s="199"/>
    </row>
    <row r="15114" spans="9:10" x14ac:dyDescent="0.25">
      <c r="I15114" s="199"/>
      <c r="J15114" s="199"/>
    </row>
    <row r="15115" spans="9:10" x14ac:dyDescent="0.25">
      <c r="I15115" s="199"/>
      <c r="J15115" s="199"/>
    </row>
    <row r="15116" spans="9:10" x14ac:dyDescent="0.25">
      <c r="I15116" s="199"/>
      <c r="J15116" s="199"/>
    </row>
    <row r="15117" spans="9:10" x14ac:dyDescent="0.25">
      <c r="I15117" s="199"/>
      <c r="J15117" s="199"/>
    </row>
    <row r="15118" spans="9:10" x14ac:dyDescent="0.25">
      <c r="I15118" s="199"/>
      <c r="J15118" s="199"/>
    </row>
    <row r="15119" spans="9:10" x14ac:dyDescent="0.25">
      <c r="I15119" s="199"/>
      <c r="J15119" s="199"/>
    </row>
    <row r="15120" spans="9:10" x14ac:dyDescent="0.25">
      <c r="I15120" s="199"/>
      <c r="J15120" s="199"/>
    </row>
    <row r="15121" spans="9:10" x14ac:dyDescent="0.25">
      <c r="I15121" s="199"/>
      <c r="J15121" s="199"/>
    </row>
    <row r="15122" spans="9:10" x14ac:dyDescent="0.25">
      <c r="I15122" s="199"/>
      <c r="J15122" s="199"/>
    </row>
    <row r="15123" spans="9:10" x14ac:dyDescent="0.25">
      <c r="I15123" s="199"/>
      <c r="J15123" s="199"/>
    </row>
    <row r="15124" spans="9:10" x14ac:dyDescent="0.25">
      <c r="I15124" s="199"/>
      <c r="J15124" s="199"/>
    </row>
    <row r="15125" spans="9:10" x14ac:dyDescent="0.25">
      <c r="I15125" s="199"/>
      <c r="J15125" s="199"/>
    </row>
    <row r="15126" spans="9:10" x14ac:dyDescent="0.25">
      <c r="I15126" s="199"/>
      <c r="J15126" s="199"/>
    </row>
    <row r="15127" spans="9:10" x14ac:dyDescent="0.25">
      <c r="I15127" s="199"/>
      <c r="J15127" s="199"/>
    </row>
    <row r="15128" spans="9:10" x14ac:dyDescent="0.25">
      <c r="I15128" s="199"/>
      <c r="J15128" s="199"/>
    </row>
    <row r="15129" spans="9:10" x14ac:dyDescent="0.25">
      <c r="I15129" s="199"/>
      <c r="J15129" s="199"/>
    </row>
    <row r="15130" spans="9:10" x14ac:dyDescent="0.25">
      <c r="I15130" s="199"/>
      <c r="J15130" s="199"/>
    </row>
    <row r="15131" spans="9:10" x14ac:dyDescent="0.25">
      <c r="I15131" s="199"/>
      <c r="J15131" s="199"/>
    </row>
    <row r="15132" spans="9:10" x14ac:dyDescent="0.25">
      <c r="I15132" s="199"/>
      <c r="J15132" s="199"/>
    </row>
    <row r="15133" spans="9:10" x14ac:dyDescent="0.25">
      <c r="I15133" s="199"/>
      <c r="J15133" s="199"/>
    </row>
    <row r="15134" spans="9:10" x14ac:dyDescent="0.25">
      <c r="I15134" s="199"/>
      <c r="J15134" s="199"/>
    </row>
    <row r="15135" spans="9:10" x14ac:dyDescent="0.25">
      <c r="I15135" s="199"/>
      <c r="J15135" s="199"/>
    </row>
    <row r="15136" spans="9:10" x14ac:dyDescent="0.25">
      <c r="I15136" s="199"/>
      <c r="J15136" s="199"/>
    </row>
    <row r="15137" spans="9:10" x14ac:dyDescent="0.25">
      <c r="I15137" s="199"/>
      <c r="J15137" s="199"/>
    </row>
    <row r="15138" spans="9:10" x14ac:dyDescent="0.25">
      <c r="I15138" s="199"/>
      <c r="J15138" s="199"/>
    </row>
    <row r="15139" spans="9:10" x14ac:dyDescent="0.25">
      <c r="I15139" s="199"/>
      <c r="J15139" s="199"/>
    </row>
    <row r="15140" spans="9:10" x14ac:dyDescent="0.25">
      <c r="I15140" s="199"/>
      <c r="J15140" s="199"/>
    </row>
    <row r="15141" spans="9:10" x14ac:dyDescent="0.25">
      <c r="I15141" s="199"/>
      <c r="J15141" s="199"/>
    </row>
    <row r="15142" spans="9:10" x14ac:dyDescent="0.25">
      <c r="I15142" s="199"/>
      <c r="J15142" s="199"/>
    </row>
    <row r="15143" spans="9:10" x14ac:dyDescent="0.25">
      <c r="I15143" s="199"/>
      <c r="J15143" s="199"/>
    </row>
    <row r="15144" spans="9:10" x14ac:dyDescent="0.25">
      <c r="I15144" s="199"/>
      <c r="J15144" s="199"/>
    </row>
    <row r="15145" spans="9:10" x14ac:dyDescent="0.25">
      <c r="I15145" s="199"/>
      <c r="J15145" s="199"/>
    </row>
    <row r="15146" spans="9:10" x14ac:dyDescent="0.25">
      <c r="I15146" s="199"/>
      <c r="J15146" s="199"/>
    </row>
    <row r="15147" spans="9:10" x14ac:dyDescent="0.25">
      <c r="I15147" s="199"/>
      <c r="J15147" s="199"/>
    </row>
    <row r="15148" spans="9:10" x14ac:dyDescent="0.25">
      <c r="I15148" s="199"/>
      <c r="J15148" s="199"/>
    </row>
    <row r="15149" spans="9:10" x14ac:dyDescent="0.25">
      <c r="I15149" s="199"/>
      <c r="J15149" s="199"/>
    </row>
    <row r="15150" spans="9:10" x14ac:dyDescent="0.25">
      <c r="I15150" s="199"/>
      <c r="J15150" s="199"/>
    </row>
    <row r="15151" spans="9:10" x14ac:dyDescent="0.25">
      <c r="I15151" s="199"/>
      <c r="J15151" s="199"/>
    </row>
    <row r="15152" spans="9:10" x14ac:dyDescent="0.25">
      <c r="I15152" s="199"/>
      <c r="J15152" s="199"/>
    </row>
    <row r="15153" spans="9:10" x14ac:dyDescent="0.25">
      <c r="I15153" s="199"/>
      <c r="J15153" s="199"/>
    </row>
    <row r="15154" spans="9:10" x14ac:dyDescent="0.25">
      <c r="I15154" s="199"/>
      <c r="J15154" s="199"/>
    </row>
    <row r="15155" spans="9:10" x14ac:dyDescent="0.25">
      <c r="I15155" s="199"/>
      <c r="J15155" s="199"/>
    </row>
    <row r="15156" spans="9:10" x14ac:dyDescent="0.25">
      <c r="I15156" s="199"/>
      <c r="J15156" s="199"/>
    </row>
    <row r="15157" spans="9:10" x14ac:dyDescent="0.25">
      <c r="I15157" s="199"/>
      <c r="J15157" s="199"/>
    </row>
    <row r="15158" spans="9:10" x14ac:dyDescent="0.25">
      <c r="I15158" s="199"/>
      <c r="J15158" s="199"/>
    </row>
    <row r="15159" spans="9:10" x14ac:dyDescent="0.25">
      <c r="I15159" s="199"/>
      <c r="J15159" s="199"/>
    </row>
    <row r="15160" spans="9:10" x14ac:dyDescent="0.25">
      <c r="I15160" s="199"/>
      <c r="J15160" s="199"/>
    </row>
    <row r="15161" spans="9:10" x14ac:dyDescent="0.25">
      <c r="I15161" s="199"/>
      <c r="J15161" s="199"/>
    </row>
    <row r="15162" spans="9:10" x14ac:dyDescent="0.25">
      <c r="I15162" s="199"/>
      <c r="J15162" s="199"/>
    </row>
    <row r="15163" spans="9:10" x14ac:dyDescent="0.25">
      <c r="I15163" s="199"/>
      <c r="J15163" s="199"/>
    </row>
    <row r="15164" spans="9:10" x14ac:dyDescent="0.25">
      <c r="I15164" s="199"/>
      <c r="J15164" s="199"/>
    </row>
    <row r="15165" spans="9:10" x14ac:dyDescent="0.25">
      <c r="I15165" s="199"/>
      <c r="J15165" s="199"/>
    </row>
    <row r="15166" spans="9:10" x14ac:dyDescent="0.25">
      <c r="I15166" s="199"/>
      <c r="J15166" s="199"/>
    </row>
    <row r="15167" spans="9:10" x14ac:dyDescent="0.25">
      <c r="I15167" s="199"/>
      <c r="J15167" s="199"/>
    </row>
    <row r="15168" spans="9:10" x14ac:dyDescent="0.25">
      <c r="I15168" s="199"/>
      <c r="J15168" s="199"/>
    </row>
    <row r="15169" spans="9:10" x14ac:dyDescent="0.25">
      <c r="I15169" s="199"/>
      <c r="J15169" s="199"/>
    </row>
    <row r="15170" spans="9:10" x14ac:dyDescent="0.25">
      <c r="I15170" s="199"/>
      <c r="J15170" s="199"/>
    </row>
    <row r="15171" spans="9:10" x14ac:dyDescent="0.25">
      <c r="I15171" s="199"/>
      <c r="J15171" s="199"/>
    </row>
    <row r="15172" spans="9:10" x14ac:dyDescent="0.25">
      <c r="I15172" s="199"/>
      <c r="J15172" s="199"/>
    </row>
    <row r="15173" spans="9:10" x14ac:dyDescent="0.25">
      <c r="I15173" s="199"/>
      <c r="J15173" s="199"/>
    </row>
    <row r="15174" spans="9:10" x14ac:dyDescent="0.25">
      <c r="I15174" s="199"/>
      <c r="J15174" s="199"/>
    </row>
    <row r="15175" spans="9:10" x14ac:dyDescent="0.25">
      <c r="I15175" s="199"/>
      <c r="J15175" s="199"/>
    </row>
    <row r="15176" spans="9:10" x14ac:dyDescent="0.25">
      <c r="I15176" s="199"/>
      <c r="J15176" s="199"/>
    </row>
    <row r="15177" spans="9:10" x14ac:dyDescent="0.25">
      <c r="I15177" s="199"/>
      <c r="J15177" s="199"/>
    </row>
    <row r="15178" spans="9:10" x14ac:dyDescent="0.25">
      <c r="I15178" s="199"/>
      <c r="J15178" s="199"/>
    </row>
    <row r="15179" spans="9:10" x14ac:dyDescent="0.25">
      <c r="I15179" s="199"/>
      <c r="J15179" s="199"/>
    </row>
    <row r="15180" spans="9:10" x14ac:dyDescent="0.25">
      <c r="I15180" s="199"/>
      <c r="J15180" s="199"/>
    </row>
    <row r="15181" spans="9:10" x14ac:dyDescent="0.25">
      <c r="I15181" s="199"/>
      <c r="J15181" s="199"/>
    </row>
    <row r="15182" spans="9:10" x14ac:dyDescent="0.25">
      <c r="I15182" s="199"/>
      <c r="J15182" s="199"/>
    </row>
    <row r="15183" spans="9:10" x14ac:dyDescent="0.25">
      <c r="I15183" s="199"/>
      <c r="J15183" s="199"/>
    </row>
    <row r="15184" spans="9:10" x14ac:dyDescent="0.25">
      <c r="I15184" s="199"/>
      <c r="J15184" s="199"/>
    </row>
    <row r="15185" spans="9:10" x14ac:dyDescent="0.25">
      <c r="I15185" s="199"/>
      <c r="J15185" s="199"/>
    </row>
    <row r="15186" spans="9:10" x14ac:dyDescent="0.25">
      <c r="I15186" s="199"/>
      <c r="J15186" s="199"/>
    </row>
    <row r="15187" spans="9:10" x14ac:dyDescent="0.25">
      <c r="I15187" s="199"/>
      <c r="J15187" s="199"/>
    </row>
    <row r="15188" spans="9:10" x14ac:dyDescent="0.25">
      <c r="I15188" s="199"/>
      <c r="J15188" s="199"/>
    </row>
    <row r="15189" spans="9:10" x14ac:dyDescent="0.25">
      <c r="I15189" s="199"/>
      <c r="J15189" s="199"/>
    </row>
    <row r="15190" spans="9:10" x14ac:dyDescent="0.25">
      <c r="I15190" s="199"/>
      <c r="J15190" s="199"/>
    </row>
    <row r="15191" spans="9:10" x14ac:dyDescent="0.25">
      <c r="I15191" s="199"/>
      <c r="J15191" s="199"/>
    </row>
    <row r="15192" spans="9:10" x14ac:dyDescent="0.25">
      <c r="I15192" s="199"/>
      <c r="J15192" s="199"/>
    </row>
    <row r="15193" spans="9:10" x14ac:dyDescent="0.25">
      <c r="I15193" s="199"/>
      <c r="J15193" s="199"/>
    </row>
    <row r="15194" spans="9:10" x14ac:dyDescent="0.25">
      <c r="I15194" s="199"/>
      <c r="J15194" s="199"/>
    </row>
    <row r="15195" spans="9:10" x14ac:dyDescent="0.25">
      <c r="I15195" s="199"/>
      <c r="J15195" s="199"/>
    </row>
    <row r="15196" spans="9:10" x14ac:dyDescent="0.25">
      <c r="I15196" s="199"/>
      <c r="J15196" s="199"/>
    </row>
    <row r="15197" spans="9:10" x14ac:dyDescent="0.25">
      <c r="I15197" s="199"/>
      <c r="J15197" s="199"/>
    </row>
    <row r="15198" spans="9:10" x14ac:dyDescent="0.25">
      <c r="I15198" s="199"/>
      <c r="J15198" s="199"/>
    </row>
    <row r="15199" spans="9:10" x14ac:dyDescent="0.25">
      <c r="I15199" s="199"/>
      <c r="J15199" s="199"/>
    </row>
    <row r="15200" spans="9:10" x14ac:dyDescent="0.25">
      <c r="I15200" s="199"/>
      <c r="J15200" s="199"/>
    </row>
    <row r="15201" spans="9:10" x14ac:dyDescent="0.25">
      <c r="I15201" s="199"/>
      <c r="J15201" s="199"/>
    </row>
    <row r="15202" spans="9:10" x14ac:dyDescent="0.25">
      <c r="I15202" s="199"/>
      <c r="J15202" s="199"/>
    </row>
    <row r="15203" spans="9:10" x14ac:dyDescent="0.25">
      <c r="I15203" s="199"/>
      <c r="J15203" s="199"/>
    </row>
    <row r="15204" spans="9:10" x14ac:dyDescent="0.25">
      <c r="I15204" s="199"/>
      <c r="J15204" s="199"/>
    </row>
    <row r="15205" spans="9:10" x14ac:dyDescent="0.25">
      <c r="I15205" s="199"/>
      <c r="J15205" s="199"/>
    </row>
    <row r="15206" spans="9:10" x14ac:dyDescent="0.25">
      <c r="I15206" s="199"/>
      <c r="J15206" s="199"/>
    </row>
    <row r="15207" spans="9:10" x14ac:dyDescent="0.25">
      <c r="I15207" s="199"/>
      <c r="J15207" s="199"/>
    </row>
    <row r="15208" spans="9:10" x14ac:dyDescent="0.25">
      <c r="I15208" s="199"/>
      <c r="J15208" s="199"/>
    </row>
    <row r="15209" spans="9:10" x14ac:dyDescent="0.25">
      <c r="I15209" s="199"/>
      <c r="J15209" s="199"/>
    </row>
    <row r="15210" spans="9:10" x14ac:dyDescent="0.25">
      <c r="I15210" s="199"/>
      <c r="J15210" s="199"/>
    </row>
    <row r="15211" spans="9:10" x14ac:dyDescent="0.25">
      <c r="I15211" s="199"/>
      <c r="J15211" s="199"/>
    </row>
    <row r="15212" spans="9:10" x14ac:dyDescent="0.25">
      <c r="I15212" s="199"/>
      <c r="J15212" s="199"/>
    </row>
    <row r="15213" spans="9:10" x14ac:dyDescent="0.25">
      <c r="I15213" s="199"/>
      <c r="J15213" s="199"/>
    </row>
    <row r="15214" spans="9:10" x14ac:dyDescent="0.25">
      <c r="I15214" s="199"/>
      <c r="J15214" s="199"/>
    </row>
    <row r="15215" spans="9:10" x14ac:dyDescent="0.25">
      <c r="I15215" s="199"/>
      <c r="J15215" s="199"/>
    </row>
    <row r="15216" spans="9:10" x14ac:dyDescent="0.25">
      <c r="I15216" s="199"/>
      <c r="J15216" s="199"/>
    </row>
    <row r="15217" spans="9:10" x14ac:dyDescent="0.25">
      <c r="I15217" s="199"/>
      <c r="J15217" s="199"/>
    </row>
    <row r="15218" spans="9:10" x14ac:dyDescent="0.25">
      <c r="I15218" s="199"/>
      <c r="J15218" s="199"/>
    </row>
    <row r="15219" spans="9:10" x14ac:dyDescent="0.25">
      <c r="I15219" s="199"/>
      <c r="J15219" s="199"/>
    </row>
    <row r="15220" spans="9:10" x14ac:dyDescent="0.25">
      <c r="I15220" s="199"/>
      <c r="J15220" s="199"/>
    </row>
    <row r="15221" spans="9:10" x14ac:dyDescent="0.25">
      <c r="I15221" s="199"/>
      <c r="J15221" s="199"/>
    </row>
    <row r="15222" spans="9:10" x14ac:dyDescent="0.25">
      <c r="I15222" s="199"/>
      <c r="J15222" s="199"/>
    </row>
    <row r="15223" spans="9:10" x14ac:dyDescent="0.25">
      <c r="I15223" s="199"/>
      <c r="J15223" s="199"/>
    </row>
    <row r="15224" spans="9:10" x14ac:dyDescent="0.25">
      <c r="I15224" s="199"/>
      <c r="J15224" s="199"/>
    </row>
    <row r="15225" spans="9:10" x14ac:dyDescent="0.25">
      <c r="I15225" s="199"/>
      <c r="J15225" s="199"/>
    </row>
    <row r="15226" spans="9:10" x14ac:dyDescent="0.25">
      <c r="I15226" s="199"/>
      <c r="J15226" s="199"/>
    </row>
    <row r="15227" spans="9:10" x14ac:dyDescent="0.25">
      <c r="I15227" s="199"/>
      <c r="J15227" s="199"/>
    </row>
    <row r="15228" spans="9:10" x14ac:dyDescent="0.25">
      <c r="I15228" s="199"/>
      <c r="J15228" s="199"/>
    </row>
    <row r="15229" spans="9:10" x14ac:dyDescent="0.25">
      <c r="I15229" s="199"/>
      <c r="J15229" s="199"/>
    </row>
    <row r="15230" spans="9:10" x14ac:dyDescent="0.25">
      <c r="I15230" s="199"/>
      <c r="J15230" s="199"/>
    </row>
    <row r="15231" spans="9:10" x14ac:dyDescent="0.25">
      <c r="I15231" s="199"/>
      <c r="J15231" s="199"/>
    </row>
    <row r="15232" spans="9:10" x14ac:dyDescent="0.25">
      <c r="I15232" s="199"/>
      <c r="J15232" s="199"/>
    </row>
    <row r="15233" spans="9:10" x14ac:dyDescent="0.25">
      <c r="I15233" s="199"/>
      <c r="J15233" s="199"/>
    </row>
    <row r="15234" spans="9:10" x14ac:dyDescent="0.25">
      <c r="I15234" s="199"/>
      <c r="J15234" s="199"/>
    </row>
    <row r="15235" spans="9:10" x14ac:dyDescent="0.25">
      <c r="I15235" s="199"/>
      <c r="J15235" s="199"/>
    </row>
    <row r="15236" spans="9:10" x14ac:dyDescent="0.25">
      <c r="I15236" s="199"/>
      <c r="J15236" s="199"/>
    </row>
    <row r="15237" spans="9:10" x14ac:dyDescent="0.25">
      <c r="I15237" s="199"/>
      <c r="J15237" s="199"/>
    </row>
    <row r="15238" spans="9:10" x14ac:dyDescent="0.25">
      <c r="I15238" s="199"/>
      <c r="J15238" s="199"/>
    </row>
    <row r="15239" spans="9:10" x14ac:dyDescent="0.25">
      <c r="I15239" s="199"/>
      <c r="J15239" s="199"/>
    </row>
    <row r="15240" spans="9:10" x14ac:dyDescent="0.25">
      <c r="I15240" s="199"/>
      <c r="J15240" s="199"/>
    </row>
    <row r="15241" spans="9:10" x14ac:dyDescent="0.25">
      <c r="I15241" s="199"/>
      <c r="J15241" s="199"/>
    </row>
    <row r="15242" spans="9:10" x14ac:dyDescent="0.25">
      <c r="I15242" s="199"/>
      <c r="J15242" s="199"/>
    </row>
    <row r="15243" spans="9:10" x14ac:dyDescent="0.25">
      <c r="I15243" s="199"/>
      <c r="J15243" s="199"/>
    </row>
    <row r="15244" spans="9:10" x14ac:dyDescent="0.25">
      <c r="I15244" s="199"/>
      <c r="J15244" s="199"/>
    </row>
    <row r="15245" spans="9:10" x14ac:dyDescent="0.25">
      <c r="I15245" s="199"/>
      <c r="J15245" s="199"/>
    </row>
    <row r="15246" spans="9:10" x14ac:dyDescent="0.25">
      <c r="I15246" s="199"/>
      <c r="J15246" s="199"/>
    </row>
    <row r="15247" spans="9:10" x14ac:dyDescent="0.25">
      <c r="I15247" s="199"/>
      <c r="J15247" s="199"/>
    </row>
    <row r="15248" spans="9:10" x14ac:dyDescent="0.25">
      <c r="I15248" s="199"/>
      <c r="J15248" s="199"/>
    </row>
    <row r="15249" spans="9:10" x14ac:dyDescent="0.25">
      <c r="I15249" s="199"/>
      <c r="J15249" s="199"/>
    </row>
    <row r="15250" spans="9:10" x14ac:dyDescent="0.25">
      <c r="I15250" s="199"/>
      <c r="J15250" s="199"/>
    </row>
    <row r="15251" spans="9:10" x14ac:dyDescent="0.25">
      <c r="I15251" s="199"/>
      <c r="J15251" s="199"/>
    </row>
    <row r="15252" spans="9:10" x14ac:dyDescent="0.25">
      <c r="I15252" s="199"/>
      <c r="J15252" s="199"/>
    </row>
    <row r="15253" spans="9:10" x14ac:dyDescent="0.25">
      <c r="I15253" s="199"/>
      <c r="J15253" s="199"/>
    </row>
    <row r="15254" spans="9:10" x14ac:dyDescent="0.25">
      <c r="I15254" s="199"/>
      <c r="J15254" s="199"/>
    </row>
    <row r="15255" spans="9:10" x14ac:dyDescent="0.25">
      <c r="I15255" s="199"/>
      <c r="J15255" s="199"/>
    </row>
    <row r="15256" spans="9:10" x14ac:dyDescent="0.25">
      <c r="I15256" s="199"/>
      <c r="J15256" s="199"/>
    </row>
    <row r="15257" spans="9:10" x14ac:dyDescent="0.25">
      <c r="I15257" s="199"/>
      <c r="J15257" s="199"/>
    </row>
    <row r="15258" spans="9:10" x14ac:dyDescent="0.25">
      <c r="I15258" s="199"/>
      <c r="J15258" s="199"/>
    </row>
    <row r="15259" spans="9:10" x14ac:dyDescent="0.25">
      <c r="I15259" s="199"/>
      <c r="J15259" s="199"/>
    </row>
    <row r="15260" spans="9:10" x14ac:dyDescent="0.25">
      <c r="I15260" s="199"/>
      <c r="J15260" s="199"/>
    </row>
    <row r="15261" spans="9:10" x14ac:dyDescent="0.25">
      <c r="I15261" s="199"/>
      <c r="J15261" s="199"/>
    </row>
    <row r="15262" spans="9:10" x14ac:dyDescent="0.25">
      <c r="I15262" s="199"/>
      <c r="J15262" s="199"/>
    </row>
    <row r="15263" spans="9:10" x14ac:dyDescent="0.25">
      <c r="I15263" s="199"/>
      <c r="J15263" s="199"/>
    </row>
    <row r="15264" spans="9:10" x14ac:dyDescent="0.25">
      <c r="I15264" s="199"/>
      <c r="J15264" s="199"/>
    </row>
    <row r="15265" spans="9:10" x14ac:dyDescent="0.25">
      <c r="I15265" s="199"/>
      <c r="J15265" s="199"/>
    </row>
    <row r="15266" spans="9:10" x14ac:dyDescent="0.25">
      <c r="I15266" s="199"/>
      <c r="J15266" s="199"/>
    </row>
    <row r="15267" spans="9:10" x14ac:dyDescent="0.25">
      <c r="I15267" s="199"/>
      <c r="J15267" s="199"/>
    </row>
    <row r="15268" spans="9:10" x14ac:dyDescent="0.25">
      <c r="I15268" s="199"/>
      <c r="J15268" s="199"/>
    </row>
    <row r="15269" spans="9:10" x14ac:dyDescent="0.25">
      <c r="I15269" s="199"/>
      <c r="J15269" s="199"/>
    </row>
    <row r="15270" spans="9:10" x14ac:dyDescent="0.25">
      <c r="I15270" s="199"/>
      <c r="J15270" s="199"/>
    </row>
    <row r="15271" spans="9:10" x14ac:dyDescent="0.25">
      <c r="I15271" s="199"/>
      <c r="J15271" s="199"/>
    </row>
    <row r="15272" spans="9:10" x14ac:dyDescent="0.25">
      <c r="I15272" s="199"/>
      <c r="J15272" s="199"/>
    </row>
    <row r="15273" spans="9:10" x14ac:dyDescent="0.25">
      <c r="I15273" s="199"/>
      <c r="J15273" s="199"/>
    </row>
    <row r="15274" spans="9:10" x14ac:dyDescent="0.25">
      <c r="I15274" s="199"/>
      <c r="J15274" s="199"/>
    </row>
    <row r="15275" spans="9:10" x14ac:dyDescent="0.25">
      <c r="I15275" s="199"/>
      <c r="J15275" s="199"/>
    </row>
    <row r="15276" spans="9:10" x14ac:dyDescent="0.25">
      <c r="I15276" s="199"/>
      <c r="J15276" s="199"/>
    </row>
    <row r="15277" spans="9:10" x14ac:dyDescent="0.25">
      <c r="I15277" s="199"/>
      <c r="J15277" s="199"/>
    </row>
    <row r="15278" spans="9:10" x14ac:dyDescent="0.25">
      <c r="I15278" s="199"/>
      <c r="J15278" s="199"/>
    </row>
    <row r="15279" spans="9:10" x14ac:dyDescent="0.25">
      <c r="I15279" s="199"/>
      <c r="J15279" s="199"/>
    </row>
    <row r="15280" spans="9:10" x14ac:dyDescent="0.25">
      <c r="I15280" s="199"/>
      <c r="J15280" s="199"/>
    </row>
    <row r="15281" spans="9:10" x14ac:dyDescent="0.25">
      <c r="I15281" s="199"/>
      <c r="J15281" s="199"/>
    </row>
    <row r="15282" spans="9:10" x14ac:dyDescent="0.25">
      <c r="I15282" s="199"/>
      <c r="J15282" s="199"/>
    </row>
    <row r="15283" spans="9:10" x14ac:dyDescent="0.25">
      <c r="I15283" s="199"/>
      <c r="J15283" s="199"/>
    </row>
    <row r="15284" spans="9:10" x14ac:dyDescent="0.25">
      <c r="I15284" s="199"/>
      <c r="J15284" s="199"/>
    </row>
    <row r="15285" spans="9:10" x14ac:dyDescent="0.25">
      <c r="I15285" s="199"/>
      <c r="J15285" s="199"/>
    </row>
    <row r="15286" spans="9:10" x14ac:dyDescent="0.25">
      <c r="I15286" s="199"/>
      <c r="J15286" s="199"/>
    </row>
    <row r="15287" spans="9:10" x14ac:dyDescent="0.25">
      <c r="I15287" s="199"/>
      <c r="J15287" s="199"/>
    </row>
    <row r="15288" spans="9:10" x14ac:dyDescent="0.25">
      <c r="I15288" s="199"/>
      <c r="J15288" s="199"/>
    </row>
    <row r="15289" spans="9:10" x14ac:dyDescent="0.25">
      <c r="I15289" s="199"/>
      <c r="J15289" s="199"/>
    </row>
    <row r="15290" spans="9:10" x14ac:dyDescent="0.25">
      <c r="I15290" s="199"/>
      <c r="J15290" s="199"/>
    </row>
    <row r="15291" spans="9:10" x14ac:dyDescent="0.25">
      <c r="I15291" s="199"/>
      <c r="J15291" s="199"/>
    </row>
    <row r="15292" spans="9:10" x14ac:dyDescent="0.25">
      <c r="I15292" s="199"/>
      <c r="J15292" s="199"/>
    </row>
    <row r="15293" spans="9:10" x14ac:dyDescent="0.25">
      <c r="I15293" s="199"/>
      <c r="J15293" s="199"/>
    </row>
    <row r="15294" spans="9:10" x14ac:dyDescent="0.25">
      <c r="I15294" s="199"/>
      <c r="J15294" s="199"/>
    </row>
    <row r="15295" spans="9:10" x14ac:dyDescent="0.25">
      <c r="I15295" s="199"/>
      <c r="J15295" s="199"/>
    </row>
    <row r="15296" spans="9:10" x14ac:dyDescent="0.25">
      <c r="I15296" s="199"/>
      <c r="J15296" s="199"/>
    </row>
    <row r="15297" spans="9:10" x14ac:dyDescent="0.25">
      <c r="I15297" s="199"/>
      <c r="J15297" s="199"/>
    </row>
    <row r="15298" spans="9:10" x14ac:dyDescent="0.25">
      <c r="I15298" s="199"/>
      <c r="J15298" s="199"/>
    </row>
    <row r="15299" spans="9:10" x14ac:dyDescent="0.25">
      <c r="I15299" s="199"/>
      <c r="J15299" s="199"/>
    </row>
    <row r="15300" spans="9:10" x14ac:dyDescent="0.25">
      <c r="I15300" s="199"/>
      <c r="J15300" s="199"/>
    </row>
    <row r="15301" spans="9:10" x14ac:dyDescent="0.25">
      <c r="I15301" s="199"/>
      <c r="J15301" s="199"/>
    </row>
    <row r="15302" spans="9:10" x14ac:dyDescent="0.25">
      <c r="I15302" s="199"/>
      <c r="J15302" s="199"/>
    </row>
    <row r="15303" spans="9:10" x14ac:dyDescent="0.25">
      <c r="I15303" s="199"/>
      <c r="J15303" s="199"/>
    </row>
    <row r="15304" spans="9:10" x14ac:dyDescent="0.25">
      <c r="I15304" s="199"/>
      <c r="J15304" s="199"/>
    </row>
    <row r="15305" spans="9:10" x14ac:dyDescent="0.25">
      <c r="I15305" s="199"/>
      <c r="J15305" s="199"/>
    </row>
    <row r="15306" spans="9:10" x14ac:dyDescent="0.25">
      <c r="I15306" s="199"/>
      <c r="J15306" s="199"/>
    </row>
    <row r="15307" spans="9:10" x14ac:dyDescent="0.25">
      <c r="I15307" s="199"/>
      <c r="J15307" s="199"/>
    </row>
    <row r="15308" spans="9:10" x14ac:dyDescent="0.25">
      <c r="I15308" s="199"/>
      <c r="J15308" s="199"/>
    </row>
    <row r="15309" spans="9:10" x14ac:dyDescent="0.25">
      <c r="I15309" s="199"/>
      <c r="J15309" s="199"/>
    </row>
    <row r="15310" spans="9:10" x14ac:dyDescent="0.25">
      <c r="I15310" s="199"/>
      <c r="J15310" s="199"/>
    </row>
    <row r="15311" spans="9:10" x14ac:dyDescent="0.25">
      <c r="I15311" s="199"/>
      <c r="J15311" s="199"/>
    </row>
    <row r="15312" spans="9:10" x14ac:dyDescent="0.25">
      <c r="I15312" s="199"/>
      <c r="J15312" s="199"/>
    </row>
    <row r="15313" spans="9:10" x14ac:dyDescent="0.25">
      <c r="I15313" s="199"/>
      <c r="J15313" s="199"/>
    </row>
    <row r="15314" spans="9:10" x14ac:dyDescent="0.25">
      <c r="I15314" s="199"/>
      <c r="J15314" s="199"/>
    </row>
    <row r="15315" spans="9:10" x14ac:dyDescent="0.25">
      <c r="I15315" s="199"/>
      <c r="J15315" s="199"/>
    </row>
    <row r="15316" spans="9:10" x14ac:dyDescent="0.25">
      <c r="I15316" s="199"/>
      <c r="J15316" s="199"/>
    </row>
    <row r="15317" spans="9:10" x14ac:dyDescent="0.25">
      <c r="I15317" s="199"/>
      <c r="J15317" s="199"/>
    </row>
    <row r="15318" spans="9:10" x14ac:dyDescent="0.25">
      <c r="I15318" s="199"/>
      <c r="J15318" s="199"/>
    </row>
    <row r="15319" spans="9:10" x14ac:dyDescent="0.25">
      <c r="I15319" s="199"/>
      <c r="J15319" s="199"/>
    </row>
    <row r="15320" spans="9:10" x14ac:dyDescent="0.25">
      <c r="I15320" s="199"/>
      <c r="J15320" s="199"/>
    </row>
    <row r="15321" spans="9:10" x14ac:dyDescent="0.25">
      <c r="I15321" s="199"/>
      <c r="J15321" s="199"/>
    </row>
    <row r="15322" spans="9:10" x14ac:dyDescent="0.25">
      <c r="I15322" s="199"/>
      <c r="J15322" s="199"/>
    </row>
    <row r="15323" spans="9:10" x14ac:dyDescent="0.25">
      <c r="I15323" s="199"/>
      <c r="J15323" s="199"/>
    </row>
    <row r="15324" spans="9:10" x14ac:dyDescent="0.25">
      <c r="I15324" s="199"/>
      <c r="J15324" s="199"/>
    </row>
    <row r="15325" spans="9:10" x14ac:dyDescent="0.25">
      <c r="I15325" s="199"/>
      <c r="J15325" s="199"/>
    </row>
    <row r="15326" spans="9:10" x14ac:dyDescent="0.25">
      <c r="I15326" s="199"/>
      <c r="J15326" s="199"/>
    </row>
    <row r="15327" spans="9:10" x14ac:dyDescent="0.25">
      <c r="I15327" s="199"/>
      <c r="J15327" s="199"/>
    </row>
    <row r="15328" spans="9:10" x14ac:dyDescent="0.25">
      <c r="I15328" s="199"/>
      <c r="J15328" s="199"/>
    </row>
    <row r="15329" spans="9:10" x14ac:dyDescent="0.25">
      <c r="I15329" s="199"/>
      <c r="J15329" s="199"/>
    </row>
    <row r="15330" spans="9:10" x14ac:dyDescent="0.25">
      <c r="I15330" s="199"/>
      <c r="J15330" s="199"/>
    </row>
    <row r="15331" spans="9:10" x14ac:dyDescent="0.25">
      <c r="I15331" s="199"/>
      <c r="J15331" s="199"/>
    </row>
    <row r="15332" spans="9:10" x14ac:dyDescent="0.25">
      <c r="I15332" s="199"/>
      <c r="J15332" s="199"/>
    </row>
    <row r="15333" spans="9:10" x14ac:dyDescent="0.25">
      <c r="I15333" s="199"/>
      <c r="J15333" s="199"/>
    </row>
    <row r="15334" spans="9:10" x14ac:dyDescent="0.25">
      <c r="I15334" s="199"/>
      <c r="J15334" s="199"/>
    </row>
    <row r="15335" spans="9:10" x14ac:dyDescent="0.25">
      <c r="I15335" s="199"/>
      <c r="J15335" s="199"/>
    </row>
    <row r="15336" spans="9:10" x14ac:dyDescent="0.25">
      <c r="I15336" s="199"/>
      <c r="J15336" s="199"/>
    </row>
    <row r="15337" spans="9:10" x14ac:dyDescent="0.25">
      <c r="I15337" s="199"/>
      <c r="J15337" s="199"/>
    </row>
    <row r="15338" spans="9:10" x14ac:dyDescent="0.25">
      <c r="I15338" s="199"/>
      <c r="J15338" s="199"/>
    </row>
    <row r="15339" spans="9:10" x14ac:dyDescent="0.25">
      <c r="I15339" s="199"/>
      <c r="J15339" s="199"/>
    </row>
    <row r="15340" spans="9:10" x14ac:dyDescent="0.25">
      <c r="I15340" s="199"/>
      <c r="J15340" s="199"/>
    </row>
    <row r="15341" spans="9:10" x14ac:dyDescent="0.25">
      <c r="I15341" s="199"/>
      <c r="J15341" s="199"/>
    </row>
    <row r="15342" spans="9:10" x14ac:dyDescent="0.25">
      <c r="I15342" s="199"/>
      <c r="J15342" s="199"/>
    </row>
    <row r="15343" spans="9:10" x14ac:dyDescent="0.25">
      <c r="I15343" s="199"/>
      <c r="J15343" s="199"/>
    </row>
    <row r="15344" spans="9:10" x14ac:dyDescent="0.25">
      <c r="I15344" s="199"/>
      <c r="J15344" s="199"/>
    </row>
    <row r="15345" spans="9:10" x14ac:dyDescent="0.25">
      <c r="I15345" s="199"/>
      <c r="J15345" s="199"/>
    </row>
    <row r="15346" spans="9:10" x14ac:dyDescent="0.25">
      <c r="I15346" s="199"/>
      <c r="J15346" s="199"/>
    </row>
    <row r="15347" spans="9:10" x14ac:dyDescent="0.25">
      <c r="I15347" s="199"/>
      <c r="J15347" s="199"/>
    </row>
    <row r="15348" spans="9:10" x14ac:dyDescent="0.25">
      <c r="I15348" s="199"/>
      <c r="J15348" s="199"/>
    </row>
    <row r="15349" spans="9:10" x14ac:dyDescent="0.25">
      <c r="I15349" s="199"/>
      <c r="J15349" s="199"/>
    </row>
    <row r="15350" spans="9:10" x14ac:dyDescent="0.25">
      <c r="I15350" s="199"/>
      <c r="J15350" s="199"/>
    </row>
    <row r="15351" spans="9:10" x14ac:dyDescent="0.25">
      <c r="I15351" s="199"/>
      <c r="J15351" s="199"/>
    </row>
    <row r="15352" spans="9:10" x14ac:dyDescent="0.25">
      <c r="I15352" s="199"/>
      <c r="J15352" s="199"/>
    </row>
    <row r="15353" spans="9:10" x14ac:dyDescent="0.25">
      <c r="I15353" s="199"/>
      <c r="J15353" s="199"/>
    </row>
    <row r="15354" spans="9:10" x14ac:dyDescent="0.25">
      <c r="I15354" s="199"/>
      <c r="J15354" s="199"/>
    </row>
    <row r="15355" spans="9:10" x14ac:dyDescent="0.25">
      <c r="I15355" s="199"/>
      <c r="J15355" s="199"/>
    </row>
    <row r="15356" spans="9:10" x14ac:dyDescent="0.25">
      <c r="I15356" s="199"/>
      <c r="J15356" s="199"/>
    </row>
    <row r="15357" spans="9:10" x14ac:dyDescent="0.25">
      <c r="I15357" s="199"/>
      <c r="J15357" s="199"/>
    </row>
    <row r="15358" spans="9:10" x14ac:dyDescent="0.25">
      <c r="I15358" s="199"/>
      <c r="J15358" s="199"/>
    </row>
    <row r="15359" spans="9:10" x14ac:dyDescent="0.25">
      <c r="I15359" s="199"/>
      <c r="J15359" s="199"/>
    </row>
    <row r="15360" spans="9:10" x14ac:dyDescent="0.25">
      <c r="I15360" s="199"/>
      <c r="J15360" s="199"/>
    </row>
    <row r="15361" spans="9:10" x14ac:dyDescent="0.25">
      <c r="I15361" s="199"/>
      <c r="J15361" s="199"/>
    </row>
    <row r="15362" spans="9:10" x14ac:dyDescent="0.25">
      <c r="I15362" s="199"/>
      <c r="J15362" s="199"/>
    </row>
    <row r="15363" spans="9:10" x14ac:dyDescent="0.25">
      <c r="I15363" s="199"/>
      <c r="J15363" s="199"/>
    </row>
    <row r="15364" spans="9:10" x14ac:dyDescent="0.25">
      <c r="I15364" s="199"/>
      <c r="J15364" s="199"/>
    </row>
    <row r="15365" spans="9:10" x14ac:dyDescent="0.25">
      <c r="I15365" s="199"/>
      <c r="J15365" s="199"/>
    </row>
    <row r="15366" spans="9:10" x14ac:dyDescent="0.25">
      <c r="I15366" s="199"/>
      <c r="J15366" s="199"/>
    </row>
    <row r="15367" spans="9:10" x14ac:dyDescent="0.25">
      <c r="I15367" s="199"/>
      <c r="J15367" s="199"/>
    </row>
    <row r="15368" spans="9:10" x14ac:dyDescent="0.25">
      <c r="I15368" s="199"/>
      <c r="J15368" s="199"/>
    </row>
    <row r="15369" spans="9:10" x14ac:dyDescent="0.25">
      <c r="I15369" s="199"/>
      <c r="J15369" s="199"/>
    </row>
    <row r="15370" spans="9:10" x14ac:dyDescent="0.25">
      <c r="I15370" s="199"/>
      <c r="J15370" s="199"/>
    </row>
    <row r="15371" spans="9:10" x14ac:dyDescent="0.25">
      <c r="I15371" s="199"/>
      <c r="J15371" s="199"/>
    </row>
    <row r="15372" spans="9:10" x14ac:dyDescent="0.25">
      <c r="I15372" s="199"/>
      <c r="J15372" s="199"/>
    </row>
    <row r="15373" spans="9:10" x14ac:dyDescent="0.25">
      <c r="I15373" s="199"/>
      <c r="J15373" s="199"/>
    </row>
    <row r="15374" spans="9:10" x14ac:dyDescent="0.25">
      <c r="I15374" s="199"/>
      <c r="J15374" s="199"/>
    </row>
    <row r="15375" spans="9:10" x14ac:dyDescent="0.25">
      <c r="I15375" s="199"/>
      <c r="J15375" s="199"/>
    </row>
    <row r="15376" spans="9:10" x14ac:dyDescent="0.25">
      <c r="I15376" s="199"/>
      <c r="J15376" s="199"/>
    </row>
    <row r="15377" spans="9:10" x14ac:dyDescent="0.25">
      <c r="I15377" s="199"/>
      <c r="J15377" s="199"/>
    </row>
    <row r="15378" spans="9:10" x14ac:dyDescent="0.25">
      <c r="I15378" s="199"/>
      <c r="J15378" s="199"/>
    </row>
    <row r="15379" spans="9:10" x14ac:dyDescent="0.25">
      <c r="I15379" s="199"/>
      <c r="J15379" s="199"/>
    </row>
    <row r="15380" spans="9:10" x14ac:dyDescent="0.25">
      <c r="I15380" s="199"/>
      <c r="J15380" s="199"/>
    </row>
    <row r="15381" spans="9:10" x14ac:dyDescent="0.25">
      <c r="I15381" s="199"/>
      <c r="J15381" s="199"/>
    </row>
    <row r="15382" spans="9:10" x14ac:dyDescent="0.25">
      <c r="I15382" s="199"/>
      <c r="J15382" s="199"/>
    </row>
    <row r="15383" spans="9:10" x14ac:dyDescent="0.25">
      <c r="I15383" s="199"/>
      <c r="J15383" s="199"/>
    </row>
    <row r="15384" spans="9:10" x14ac:dyDescent="0.25">
      <c r="I15384" s="199"/>
      <c r="J15384" s="199"/>
    </row>
    <row r="15385" spans="9:10" x14ac:dyDescent="0.25">
      <c r="I15385" s="199"/>
      <c r="J15385" s="199"/>
    </row>
    <row r="15386" spans="9:10" x14ac:dyDescent="0.25">
      <c r="I15386" s="199"/>
      <c r="J15386" s="199"/>
    </row>
    <row r="15387" spans="9:10" x14ac:dyDescent="0.25">
      <c r="I15387" s="199"/>
      <c r="J15387" s="199"/>
    </row>
    <row r="15388" spans="9:10" x14ac:dyDescent="0.25">
      <c r="I15388" s="199"/>
      <c r="J15388" s="199"/>
    </row>
    <row r="15389" spans="9:10" x14ac:dyDescent="0.25">
      <c r="I15389" s="199"/>
      <c r="J15389" s="199"/>
    </row>
    <row r="15390" spans="9:10" x14ac:dyDescent="0.25">
      <c r="I15390" s="199"/>
      <c r="J15390" s="199"/>
    </row>
    <row r="15391" spans="9:10" x14ac:dyDescent="0.25">
      <c r="I15391" s="199"/>
      <c r="J15391" s="199"/>
    </row>
    <row r="15392" spans="9:10" x14ac:dyDescent="0.25">
      <c r="I15392" s="199"/>
      <c r="J15392" s="199"/>
    </row>
    <row r="15393" spans="9:10" x14ac:dyDescent="0.25">
      <c r="I15393" s="199"/>
      <c r="J15393" s="199"/>
    </row>
    <row r="15394" spans="9:10" x14ac:dyDescent="0.25">
      <c r="I15394" s="199"/>
      <c r="J15394" s="199"/>
    </row>
    <row r="15395" spans="9:10" x14ac:dyDescent="0.25">
      <c r="I15395" s="199"/>
      <c r="J15395" s="199"/>
    </row>
    <row r="15396" spans="9:10" x14ac:dyDescent="0.25">
      <c r="I15396" s="199"/>
      <c r="J15396" s="199"/>
    </row>
    <row r="15397" spans="9:10" x14ac:dyDescent="0.25">
      <c r="I15397" s="199"/>
      <c r="J15397" s="199"/>
    </row>
    <row r="15398" spans="9:10" x14ac:dyDescent="0.25">
      <c r="I15398" s="199"/>
      <c r="J15398" s="199"/>
    </row>
    <row r="15399" spans="9:10" x14ac:dyDescent="0.25">
      <c r="I15399" s="199"/>
      <c r="J15399" s="199"/>
    </row>
    <row r="15400" spans="9:10" x14ac:dyDescent="0.25">
      <c r="I15400" s="199"/>
      <c r="J15400" s="199"/>
    </row>
    <row r="15401" spans="9:10" x14ac:dyDescent="0.25">
      <c r="I15401" s="199"/>
      <c r="J15401" s="199"/>
    </row>
    <row r="15402" spans="9:10" x14ac:dyDescent="0.25">
      <c r="I15402" s="199"/>
      <c r="J15402" s="199"/>
    </row>
    <row r="15403" spans="9:10" x14ac:dyDescent="0.25">
      <c r="I15403" s="199"/>
      <c r="J15403" s="199"/>
    </row>
    <row r="15404" spans="9:10" x14ac:dyDescent="0.25">
      <c r="I15404" s="199"/>
      <c r="J15404" s="199"/>
    </row>
    <row r="15405" spans="9:10" x14ac:dyDescent="0.25">
      <c r="I15405" s="199"/>
      <c r="J15405" s="199"/>
    </row>
    <row r="15406" spans="9:10" x14ac:dyDescent="0.25">
      <c r="I15406" s="199"/>
      <c r="J15406" s="199"/>
    </row>
    <row r="15407" spans="9:10" x14ac:dyDescent="0.25">
      <c r="I15407" s="199"/>
      <c r="J15407" s="199"/>
    </row>
    <row r="15408" spans="9:10" x14ac:dyDescent="0.25">
      <c r="I15408" s="199"/>
      <c r="J15408" s="199"/>
    </row>
    <row r="15409" spans="9:10" x14ac:dyDescent="0.25">
      <c r="I15409" s="199"/>
      <c r="J15409" s="199"/>
    </row>
    <row r="15410" spans="9:10" x14ac:dyDescent="0.25">
      <c r="I15410" s="199"/>
      <c r="J15410" s="199"/>
    </row>
    <row r="15411" spans="9:10" x14ac:dyDescent="0.25">
      <c r="I15411" s="199"/>
      <c r="J15411" s="199"/>
    </row>
    <row r="15412" spans="9:10" x14ac:dyDescent="0.25">
      <c r="I15412" s="199"/>
      <c r="J15412" s="199"/>
    </row>
    <row r="15413" spans="9:10" x14ac:dyDescent="0.25">
      <c r="I15413" s="199"/>
      <c r="J15413" s="199"/>
    </row>
    <row r="15414" spans="9:10" x14ac:dyDescent="0.25">
      <c r="I15414" s="199"/>
      <c r="J15414" s="199"/>
    </row>
    <row r="15415" spans="9:10" x14ac:dyDescent="0.25">
      <c r="I15415" s="199"/>
      <c r="J15415" s="199"/>
    </row>
    <row r="15416" spans="9:10" x14ac:dyDescent="0.25">
      <c r="I15416" s="199"/>
      <c r="J15416" s="199"/>
    </row>
    <row r="15417" spans="9:10" x14ac:dyDescent="0.25">
      <c r="I15417" s="199"/>
      <c r="J15417" s="199"/>
    </row>
    <row r="15418" spans="9:10" x14ac:dyDescent="0.25">
      <c r="I15418" s="199"/>
      <c r="J15418" s="199"/>
    </row>
    <row r="15419" spans="9:10" x14ac:dyDescent="0.25">
      <c r="I15419" s="199"/>
      <c r="J15419" s="199"/>
    </row>
    <row r="15420" spans="9:10" x14ac:dyDescent="0.25">
      <c r="I15420" s="199"/>
      <c r="J15420" s="199"/>
    </row>
    <row r="15421" spans="9:10" x14ac:dyDescent="0.25">
      <c r="I15421" s="199"/>
      <c r="J15421" s="199"/>
    </row>
    <row r="15422" spans="9:10" x14ac:dyDescent="0.25">
      <c r="I15422" s="199"/>
      <c r="J15422" s="199"/>
    </row>
    <row r="15423" spans="9:10" x14ac:dyDescent="0.25">
      <c r="I15423" s="199"/>
      <c r="J15423" s="199"/>
    </row>
    <row r="15424" spans="9:10" x14ac:dyDescent="0.25">
      <c r="I15424" s="199"/>
      <c r="J15424" s="199"/>
    </row>
    <row r="15425" spans="9:10" x14ac:dyDescent="0.25">
      <c r="I15425" s="199"/>
      <c r="J15425" s="199"/>
    </row>
    <row r="15426" spans="9:10" x14ac:dyDescent="0.25">
      <c r="I15426" s="199"/>
      <c r="J15426" s="199"/>
    </row>
    <row r="15427" spans="9:10" x14ac:dyDescent="0.25">
      <c r="I15427" s="199"/>
      <c r="J15427" s="199"/>
    </row>
    <row r="15428" spans="9:10" x14ac:dyDescent="0.25">
      <c r="I15428" s="199"/>
      <c r="J15428" s="199"/>
    </row>
    <row r="15429" spans="9:10" x14ac:dyDescent="0.25">
      <c r="I15429" s="199"/>
      <c r="J15429" s="199"/>
    </row>
    <row r="15430" spans="9:10" x14ac:dyDescent="0.25">
      <c r="I15430" s="199"/>
      <c r="J15430" s="199"/>
    </row>
    <row r="15431" spans="9:10" x14ac:dyDescent="0.25">
      <c r="I15431" s="199"/>
      <c r="J15431" s="199"/>
    </row>
    <row r="15432" spans="9:10" x14ac:dyDescent="0.25">
      <c r="I15432" s="199"/>
      <c r="J15432" s="199"/>
    </row>
    <row r="15433" spans="9:10" x14ac:dyDescent="0.25">
      <c r="I15433" s="199"/>
      <c r="J15433" s="199"/>
    </row>
    <row r="15434" spans="9:10" x14ac:dyDescent="0.25">
      <c r="I15434" s="199"/>
      <c r="J15434" s="199"/>
    </row>
    <row r="15435" spans="9:10" x14ac:dyDescent="0.25">
      <c r="I15435" s="199"/>
      <c r="J15435" s="199"/>
    </row>
    <row r="15436" spans="9:10" x14ac:dyDescent="0.25">
      <c r="I15436" s="199"/>
      <c r="J15436" s="199"/>
    </row>
    <row r="15437" spans="9:10" x14ac:dyDescent="0.25">
      <c r="I15437" s="199"/>
      <c r="J15437" s="199"/>
    </row>
    <row r="15438" spans="9:10" x14ac:dyDescent="0.25">
      <c r="I15438" s="199"/>
      <c r="J15438" s="199"/>
    </row>
    <row r="15439" spans="9:10" x14ac:dyDescent="0.25">
      <c r="I15439" s="199"/>
      <c r="J15439" s="199"/>
    </row>
    <row r="15440" spans="9:10" x14ac:dyDescent="0.25">
      <c r="I15440" s="199"/>
      <c r="J15440" s="199"/>
    </row>
    <row r="15441" spans="9:10" x14ac:dyDescent="0.25">
      <c r="I15441" s="199"/>
      <c r="J15441" s="199"/>
    </row>
    <row r="15442" spans="9:10" x14ac:dyDescent="0.25">
      <c r="I15442" s="199"/>
      <c r="J15442" s="199"/>
    </row>
    <row r="15443" spans="9:10" x14ac:dyDescent="0.25">
      <c r="I15443" s="199"/>
      <c r="J15443" s="199"/>
    </row>
    <row r="15444" spans="9:10" x14ac:dyDescent="0.25">
      <c r="I15444" s="199"/>
      <c r="J15444" s="199"/>
    </row>
    <row r="15445" spans="9:10" x14ac:dyDescent="0.25">
      <c r="I15445" s="199"/>
      <c r="J15445" s="199"/>
    </row>
    <row r="15446" spans="9:10" x14ac:dyDescent="0.25">
      <c r="I15446" s="199"/>
      <c r="J15446" s="199"/>
    </row>
    <row r="15447" spans="9:10" x14ac:dyDescent="0.25">
      <c r="I15447" s="199"/>
      <c r="J15447" s="199"/>
    </row>
    <row r="15448" spans="9:10" x14ac:dyDescent="0.25">
      <c r="I15448" s="199"/>
      <c r="J15448" s="199"/>
    </row>
    <row r="15449" spans="9:10" x14ac:dyDescent="0.25">
      <c r="I15449" s="199"/>
      <c r="J15449" s="199"/>
    </row>
    <row r="15450" spans="9:10" x14ac:dyDescent="0.25">
      <c r="I15450" s="199"/>
      <c r="J15450" s="199"/>
    </row>
    <row r="15451" spans="9:10" x14ac:dyDescent="0.25">
      <c r="I15451" s="199"/>
      <c r="J15451" s="199"/>
    </row>
    <row r="15452" spans="9:10" x14ac:dyDescent="0.25">
      <c r="I15452" s="199"/>
      <c r="J15452" s="199"/>
    </row>
    <row r="15453" spans="9:10" x14ac:dyDescent="0.25">
      <c r="I15453" s="199"/>
      <c r="J15453" s="199"/>
    </row>
    <row r="15454" spans="9:10" x14ac:dyDescent="0.25">
      <c r="I15454" s="199"/>
      <c r="J15454" s="199"/>
    </row>
    <row r="15455" spans="9:10" x14ac:dyDescent="0.25">
      <c r="I15455" s="199"/>
      <c r="J15455" s="199"/>
    </row>
    <row r="15456" spans="9:10" x14ac:dyDescent="0.25">
      <c r="I15456" s="199"/>
      <c r="J15456" s="199"/>
    </row>
    <row r="15457" spans="9:10" x14ac:dyDescent="0.25">
      <c r="I15457" s="199"/>
      <c r="J15457" s="199"/>
    </row>
    <row r="15458" spans="9:10" x14ac:dyDescent="0.25">
      <c r="I15458" s="199"/>
      <c r="J15458" s="199"/>
    </row>
    <row r="15459" spans="9:10" x14ac:dyDescent="0.25">
      <c r="I15459" s="199"/>
      <c r="J15459" s="199"/>
    </row>
    <row r="15460" spans="9:10" x14ac:dyDescent="0.25">
      <c r="I15460" s="199"/>
      <c r="J15460" s="199"/>
    </row>
    <row r="15461" spans="9:10" x14ac:dyDescent="0.25">
      <c r="I15461" s="199"/>
      <c r="J15461" s="199"/>
    </row>
    <row r="15462" spans="9:10" x14ac:dyDescent="0.25">
      <c r="I15462" s="199"/>
      <c r="J15462" s="199"/>
    </row>
    <row r="15463" spans="9:10" x14ac:dyDescent="0.25">
      <c r="I15463" s="199"/>
      <c r="J15463" s="199"/>
    </row>
    <row r="15464" spans="9:10" x14ac:dyDescent="0.25">
      <c r="I15464" s="199"/>
      <c r="J15464" s="199"/>
    </row>
    <row r="15465" spans="9:10" x14ac:dyDescent="0.25">
      <c r="I15465" s="199"/>
      <c r="J15465" s="199"/>
    </row>
    <row r="15466" spans="9:10" x14ac:dyDescent="0.25">
      <c r="I15466" s="199"/>
      <c r="J15466" s="199"/>
    </row>
    <row r="15467" spans="9:10" x14ac:dyDescent="0.25">
      <c r="I15467" s="199"/>
      <c r="J15467" s="199"/>
    </row>
    <row r="15468" spans="9:10" x14ac:dyDescent="0.25">
      <c r="I15468" s="199"/>
      <c r="J15468" s="199"/>
    </row>
    <row r="15469" spans="9:10" x14ac:dyDescent="0.25">
      <c r="I15469" s="199"/>
      <c r="J15469" s="199"/>
    </row>
    <row r="15470" spans="9:10" x14ac:dyDescent="0.25">
      <c r="I15470" s="199"/>
      <c r="J15470" s="199"/>
    </row>
    <row r="15471" spans="9:10" x14ac:dyDescent="0.25">
      <c r="I15471" s="199"/>
      <c r="J15471" s="199"/>
    </row>
    <row r="15472" spans="9:10" x14ac:dyDescent="0.25">
      <c r="I15472" s="199"/>
      <c r="J15472" s="199"/>
    </row>
    <row r="15473" spans="9:10" x14ac:dyDescent="0.25">
      <c r="I15473" s="199"/>
      <c r="J15473" s="199"/>
    </row>
    <row r="15474" spans="9:10" x14ac:dyDescent="0.25">
      <c r="I15474" s="199"/>
      <c r="J15474" s="199"/>
    </row>
    <row r="15475" spans="9:10" x14ac:dyDescent="0.25">
      <c r="I15475" s="199"/>
      <c r="J15475" s="199"/>
    </row>
    <row r="15476" spans="9:10" x14ac:dyDescent="0.25">
      <c r="I15476" s="199"/>
      <c r="J15476" s="199"/>
    </row>
    <row r="15477" spans="9:10" x14ac:dyDescent="0.25">
      <c r="I15477" s="199"/>
      <c r="J15477" s="199"/>
    </row>
    <row r="15478" spans="9:10" x14ac:dyDescent="0.25">
      <c r="I15478" s="199"/>
      <c r="J15478" s="199"/>
    </row>
    <row r="15479" spans="9:10" x14ac:dyDescent="0.25">
      <c r="I15479" s="199"/>
      <c r="J15479" s="199"/>
    </row>
    <row r="15480" spans="9:10" x14ac:dyDescent="0.25">
      <c r="I15480" s="199"/>
      <c r="J15480" s="199"/>
    </row>
    <row r="15481" spans="9:10" x14ac:dyDescent="0.25">
      <c r="I15481" s="199"/>
      <c r="J15481" s="199"/>
    </row>
    <row r="15482" spans="9:10" x14ac:dyDescent="0.25">
      <c r="I15482" s="199"/>
      <c r="J15482" s="199"/>
    </row>
    <row r="15483" spans="9:10" x14ac:dyDescent="0.25">
      <c r="I15483" s="199"/>
      <c r="J15483" s="199"/>
    </row>
    <row r="15484" spans="9:10" x14ac:dyDescent="0.25">
      <c r="I15484" s="199"/>
      <c r="J15484" s="199"/>
    </row>
    <row r="15485" spans="9:10" x14ac:dyDescent="0.25">
      <c r="I15485" s="199"/>
      <c r="J15485" s="199"/>
    </row>
    <row r="15486" spans="9:10" x14ac:dyDescent="0.25">
      <c r="I15486" s="199"/>
      <c r="J15486" s="199"/>
    </row>
    <row r="15487" spans="9:10" x14ac:dyDescent="0.25">
      <c r="I15487" s="199"/>
      <c r="J15487" s="199"/>
    </row>
    <row r="15488" spans="9:10" x14ac:dyDescent="0.25">
      <c r="I15488" s="199"/>
      <c r="J15488" s="199"/>
    </row>
    <row r="15489" spans="9:10" x14ac:dyDescent="0.25">
      <c r="I15489" s="199"/>
      <c r="J15489" s="199"/>
    </row>
    <row r="15490" spans="9:10" x14ac:dyDescent="0.25">
      <c r="I15490" s="199"/>
      <c r="J15490" s="199"/>
    </row>
    <row r="15491" spans="9:10" x14ac:dyDescent="0.25">
      <c r="I15491" s="199"/>
      <c r="J15491" s="199"/>
    </row>
    <row r="15492" spans="9:10" x14ac:dyDescent="0.25">
      <c r="I15492" s="199"/>
      <c r="J15492" s="199"/>
    </row>
    <row r="15493" spans="9:10" x14ac:dyDescent="0.25">
      <c r="I15493" s="199"/>
      <c r="J15493" s="199"/>
    </row>
    <row r="15494" spans="9:10" x14ac:dyDescent="0.25">
      <c r="I15494" s="199"/>
      <c r="J15494" s="199"/>
    </row>
    <row r="15495" spans="9:10" x14ac:dyDescent="0.25">
      <c r="I15495" s="199"/>
      <c r="J15495" s="199"/>
    </row>
    <row r="15496" spans="9:10" x14ac:dyDescent="0.25">
      <c r="I15496" s="199"/>
      <c r="J15496" s="199"/>
    </row>
    <row r="15497" spans="9:10" x14ac:dyDescent="0.25">
      <c r="I15497" s="199"/>
      <c r="J15497" s="199"/>
    </row>
    <row r="15498" spans="9:10" x14ac:dyDescent="0.25">
      <c r="I15498" s="199"/>
      <c r="J15498" s="199"/>
    </row>
    <row r="15499" spans="9:10" x14ac:dyDescent="0.25">
      <c r="I15499" s="199"/>
      <c r="J15499" s="199"/>
    </row>
    <row r="15500" spans="9:10" x14ac:dyDescent="0.25">
      <c r="I15500" s="199"/>
      <c r="J15500" s="199"/>
    </row>
    <row r="15501" spans="9:10" x14ac:dyDescent="0.25">
      <c r="I15501" s="199"/>
      <c r="J15501" s="199"/>
    </row>
    <row r="15502" spans="9:10" x14ac:dyDescent="0.25">
      <c r="I15502" s="199"/>
      <c r="J15502" s="199"/>
    </row>
    <row r="15503" spans="9:10" x14ac:dyDescent="0.25">
      <c r="I15503" s="199"/>
      <c r="J15503" s="199"/>
    </row>
    <row r="15504" spans="9:10" x14ac:dyDescent="0.25">
      <c r="I15504" s="199"/>
      <c r="J15504" s="199"/>
    </row>
    <row r="15505" spans="9:10" x14ac:dyDescent="0.25">
      <c r="I15505" s="199"/>
      <c r="J15505" s="199"/>
    </row>
    <row r="15506" spans="9:10" x14ac:dyDescent="0.25">
      <c r="I15506" s="199"/>
      <c r="J15506" s="199"/>
    </row>
    <row r="15507" spans="9:10" x14ac:dyDescent="0.25">
      <c r="I15507" s="199"/>
      <c r="J15507" s="199"/>
    </row>
    <row r="15508" spans="9:10" x14ac:dyDescent="0.25">
      <c r="I15508" s="199"/>
      <c r="J15508" s="199"/>
    </row>
    <row r="15509" spans="9:10" x14ac:dyDescent="0.25">
      <c r="I15509" s="199"/>
      <c r="J15509" s="199"/>
    </row>
    <row r="15510" spans="9:10" x14ac:dyDescent="0.25">
      <c r="I15510" s="199"/>
      <c r="J15510" s="199"/>
    </row>
    <row r="15511" spans="9:10" x14ac:dyDescent="0.25">
      <c r="I15511" s="199"/>
      <c r="J15511" s="199"/>
    </row>
    <row r="15512" spans="9:10" x14ac:dyDescent="0.25">
      <c r="I15512" s="199"/>
      <c r="J15512" s="199"/>
    </row>
    <row r="15513" spans="9:10" x14ac:dyDescent="0.25">
      <c r="I15513" s="199"/>
      <c r="J15513" s="199"/>
    </row>
    <row r="15514" spans="9:10" x14ac:dyDescent="0.25">
      <c r="I15514" s="199"/>
      <c r="J15514" s="199"/>
    </row>
    <row r="15515" spans="9:10" x14ac:dyDescent="0.25">
      <c r="I15515" s="199"/>
      <c r="J15515" s="199"/>
    </row>
    <row r="15516" spans="9:10" x14ac:dyDescent="0.25">
      <c r="I15516" s="199"/>
      <c r="J15516" s="199"/>
    </row>
    <row r="15517" spans="9:10" x14ac:dyDescent="0.25">
      <c r="I15517" s="199"/>
      <c r="J15517" s="199"/>
    </row>
    <row r="15518" spans="9:10" x14ac:dyDescent="0.25">
      <c r="I15518" s="199"/>
      <c r="J15518" s="199"/>
    </row>
    <row r="15519" spans="9:10" x14ac:dyDescent="0.25">
      <c r="I15519" s="199"/>
      <c r="J15519" s="199"/>
    </row>
    <row r="15520" spans="9:10" x14ac:dyDescent="0.25">
      <c r="I15520" s="199"/>
      <c r="J15520" s="199"/>
    </row>
    <row r="15521" spans="9:10" x14ac:dyDescent="0.25">
      <c r="I15521" s="199"/>
      <c r="J15521" s="199"/>
    </row>
    <row r="15522" spans="9:10" x14ac:dyDescent="0.25">
      <c r="I15522" s="199"/>
      <c r="J15522" s="199"/>
    </row>
    <row r="15523" spans="9:10" x14ac:dyDescent="0.25">
      <c r="I15523" s="199"/>
      <c r="J15523" s="199"/>
    </row>
    <row r="15524" spans="9:10" x14ac:dyDescent="0.25">
      <c r="I15524" s="199"/>
      <c r="J15524" s="199"/>
    </row>
    <row r="15525" spans="9:10" x14ac:dyDescent="0.25">
      <c r="I15525" s="199"/>
      <c r="J15525" s="199"/>
    </row>
    <row r="15526" spans="9:10" x14ac:dyDescent="0.25">
      <c r="I15526" s="199"/>
      <c r="J15526" s="199"/>
    </row>
    <row r="15527" spans="9:10" x14ac:dyDescent="0.25">
      <c r="I15527" s="199"/>
      <c r="J15527" s="199"/>
    </row>
    <row r="15528" spans="9:10" x14ac:dyDescent="0.25">
      <c r="I15528" s="199"/>
      <c r="J15528" s="199"/>
    </row>
    <row r="15529" spans="9:10" x14ac:dyDescent="0.25">
      <c r="I15529" s="199"/>
      <c r="J15529" s="199"/>
    </row>
    <row r="15530" spans="9:10" x14ac:dyDescent="0.25">
      <c r="I15530" s="199"/>
      <c r="J15530" s="199"/>
    </row>
    <row r="15531" spans="9:10" x14ac:dyDescent="0.25">
      <c r="I15531" s="199"/>
      <c r="J15531" s="199"/>
    </row>
    <row r="15532" spans="9:10" x14ac:dyDescent="0.25">
      <c r="I15532" s="199"/>
      <c r="J15532" s="199"/>
    </row>
    <row r="15533" spans="9:10" x14ac:dyDescent="0.25">
      <c r="I15533" s="199"/>
      <c r="J15533" s="199"/>
    </row>
    <row r="15534" spans="9:10" x14ac:dyDescent="0.25">
      <c r="I15534" s="199"/>
      <c r="J15534" s="199"/>
    </row>
    <row r="15535" spans="9:10" x14ac:dyDescent="0.25">
      <c r="I15535" s="199"/>
      <c r="J15535" s="199"/>
    </row>
    <row r="15536" spans="9:10" x14ac:dyDescent="0.25">
      <c r="I15536" s="199"/>
      <c r="J15536" s="199"/>
    </row>
    <row r="15537" spans="9:10" x14ac:dyDescent="0.25">
      <c r="I15537" s="199"/>
      <c r="J15537" s="199"/>
    </row>
    <row r="15538" spans="9:10" x14ac:dyDescent="0.25">
      <c r="I15538" s="199"/>
      <c r="J15538" s="199"/>
    </row>
    <row r="15539" spans="9:10" x14ac:dyDescent="0.25">
      <c r="I15539" s="199"/>
      <c r="J15539" s="199"/>
    </row>
    <row r="15540" spans="9:10" x14ac:dyDescent="0.25">
      <c r="I15540" s="199"/>
      <c r="J15540" s="199"/>
    </row>
    <row r="15541" spans="9:10" x14ac:dyDescent="0.25">
      <c r="I15541" s="199"/>
      <c r="J15541" s="199"/>
    </row>
    <row r="15542" spans="9:10" x14ac:dyDescent="0.25">
      <c r="I15542" s="199"/>
      <c r="J15542" s="199"/>
    </row>
    <row r="15543" spans="9:10" x14ac:dyDescent="0.25">
      <c r="I15543" s="199"/>
      <c r="J15543" s="199"/>
    </row>
    <row r="15544" spans="9:10" x14ac:dyDescent="0.25">
      <c r="I15544" s="199"/>
      <c r="J15544" s="199"/>
    </row>
    <row r="15545" spans="9:10" x14ac:dyDescent="0.25">
      <c r="I15545" s="199"/>
      <c r="J15545" s="199"/>
    </row>
    <row r="15546" spans="9:10" x14ac:dyDescent="0.25">
      <c r="I15546" s="199"/>
      <c r="J15546" s="199"/>
    </row>
    <row r="15547" spans="9:10" x14ac:dyDescent="0.25">
      <c r="I15547" s="199"/>
      <c r="J15547" s="199"/>
    </row>
    <row r="15548" spans="9:10" x14ac:dyDescent="0.25">
      <c r="I15548" s="199"/>
      <c r="J15548" s="199"/>
    </row>
    <row r="15549" spans="9:10" x14ac:dyDescent="0.25">
      <c r="I15549" s="199"/>
      <c r="J15549" s="199"/>
    </row>
    <row r="15550" spans="9:10" x14ac:dyDescent="0.25">
      <c r="I15550" s="199"/>
      <c r="J15550" s="199"/>
    </row>
    <row r="15551" spans="9:10" x14ac:dyDescent="0.25">
      <c r="I15551" s="199"/>
      <c r="J15551" s="199"/>
    </row>
    <row r="15552" spans="9:10" x14ac:dyDescent="0.25">
      <c r="I15552" s="199"/>
      <c r="J15552" s="199"/>
    </row>
    <row r="15553" spans="9:10" x14ac:dyDescent="0.25">
      <c r="I15553" s="199"/>
      <c r="J15553" s="199"/>
    </row>
    <row r="15554" spans="9:10" x14ac:dyDescent="0.25">
      <c r="I15554" s="199"/>
      <c r="J15554" s="199"/>
    </row>
    <row r="15555" spans="9:10" x14ac:dyDescent="0.25">
      <c r="I15555" s="199"/>
      <c r="J15555" s="199"/>
    </row>
    <row r="15556" spans="9:10" x14ac:dyDescent="0.25">
      <c r="I15556" s="199"/>
      <c r="J15556" s="199"/>
    </row>
    <row r="15557" spans="9:10" x14ac:dyDescent="0.25">
      <c r="I15557" s="199"/>
      <c r="J15557" s="199"/>
    </row>
    <row r="15558" spans="9:10" x14ac:dyDescent="0.25">
      <c r="I15558" s="199"/>
      <c r="J15558" s="199"/>
    </row>
    <row r="15559" spans="9:10" x14ac:dyDescent="0.25">
      <c r="I15559" s="199"/>
      <c r="J15559" s="199"/>
    </row>
    <row r="15560" spans="9:10" x14ac:dyDescent="0.25">
      <c r="I15560" s="199"/>
      <c r="J15560" s="199"/>
    </row>
    <row r="15561" spans="9:10" x14ac:dyDescent="0.25">
      <c r="I15561" s="199"/>
      <c r="J15561" s="199"/>
    </row>
    <row r="15562" spans="9:10" x14ac:dyDescent="0.25">
      <c r="I15562" s="199"/>
      <c r="J15562" s="199"/>
    </row>
    <row r="15563" spans="9:10" x14ac:dyDescent="0.25">
      <c r="I15563" s="199"/>
      <c r="J15563" s="199"/>
    </row>
    <row r="15564" spans="9:10" x14ac:dyDescent="0.25">
      <c r="I15564" s="199"/>
      <c r="J15564" s="199"/>
    </row>
    <row r="15565" spans="9:10" x14ac:dyDescent="0.25">
      <c r="I15565" s="199"/>
      <c r="J15565" s="199"/>
    </row>
    <row r="15566" spans="9:10" x14ac:dyDescent="0.25">
      <c r="I15566" s="199"/>
      <c r="J15566" s="199"/>
    </row>
    <row r="15567" spans="9:10" x14ac:dyDescent="0.25">
      <c r="I15567" s="199"/>
      <c r="J15567" s="199"/>
    </row>
    <row r="15568" spans="9:10" x14ac:dyDescent="0.25">
      <c r="I15568" s="199"/>
      <c r="J15568" s="199"/>
    </row>
    <row r="15569" spans="9:10" x14ac:dyDescent="0.25">
      <c r="I15569" s="199"/>
      <c r="J15569" s="199"/>
    </row>
    <row r="15570" spans="9:10" x14ac:dyDescent="0.25">
      <c r="I15570" s="199"/>
      <c r="J15570" s="199"/>
    </row>
    <row r="15571" spans="9:10" x14ac:dyDescent="0.25">
      <c r="I15571" s="199"/>
      <c r="J15571" s="199"/>
    </row>
    <row r="15572" spans="9:10" x14ac:dyDescent="0.25">
      <c r="I15572" s="199"/>
      <c r="J15572" s="199"/>
    </row>
    <row r="15573" spans="9:10" x14ac:dyDescent="0.25">
      <c r="I15573" s="199"/>
      <c r="J15573" s="199"/>
    </row>
    <row r="15574" spans="9:10" x14ac:dyDescent="0.25">
      <c r="I15574" s="199"/>
      <c r="J15574" s="199"/>
    </row>
    <row r="15575" spans="9:10" x14ac:dyDescent="0.25">
      <c r="I15575" s="199"/>
      <c r="J15575" s="199"/>
    </row>
    <row r="15576" spans="9:10" x14ac:dyDescent="0.25">
      <c r="I15576" s="199"/>
      <c r="J15576" s="199"/>
    </row>
    <row r="15577" spans="9:10" x14ac:dyDescent="0.25">
      <c r="I15577" s="199"/>
      <c r="J15577" s="199"/>
    </row>
    <row r="15578" spans="9:10" x14ac:dyDescent="0.25">
      <c r="I15578" s="199"/>
      <c r="J15578" s="199"/>
    </row>
    <row r="15579" spans="9:10" x14ac:dyDescent="0.25">
      <c r="I15579" s="199"/>
      <c r="J15579" s="199"/>
    </row>
    <row r="15580" spans="9:10" x14ac:dyDescent="0.25">
      <c r="I15580" s="199"/>
      <c r="J15580" s="199"/>
    </row>
    <row r="15581" spans="9:10" x14ac:dyDescent="0.25">
      <c r="I15581" s="199"/>
      <c r="J15581" s="199"/>
    </row>
    <row r="15582" spans="9:10" x14ac:dyDescent="0.25">
      <c r="I15582" s="199"/>
      <c r="J15582" s="199"/>
    </row>
    <row r="15583" spans="9:10" x14ac:dyDescent="0.25">
      <c r="I15583" s="199"/>
      <c r="J15583" s="199"/>
    </row>
    <row r="15584" spans="9:10" x14ac:dyDescent="0.25">
      <c r="I15584" s="199"/>
      <c r="J15584" s="199"/>
    </row>
    <row r="15585" spans="9:10" x14ac:dyDescent="0.25">
      <c r="I15585" s="199"/>
      <c r="J15585" s="199"/>
    </row>
    <row r="15586" spans="9:10" x14ac:dyDescent="0.25">
      <c r="I15586" s="199"/>
      <c r="J15586" s="199"/>
    </row>
    <row r="15587" spans="9:10" x14ac:dyDescent="0.25">
      <c r="I15587" s="199"/>
      <c r="J15587" s="199"/>
    </row>
    <row r="15588" spans="9:10" x14ac:dyDescent="0.25">
      <c r="I15588" s="199"/>
      <c r="J15588" s="199"/>
    </row>
    <row r="15589" spans="9:10" x14ac:dyDescent="0.25">
      <c r="I15589" s="199"/>
      <c r="J15589" s="199"/>
    </row>
    <row r="15590" spans="9:10" x14ac:dyDescent="0.25">
      <c r="I15590" s="199"/>
      <c r="J15590" s="199"/>
    </row>
    <row r="15591" spans="9:10" x14ac:dyDescent="0.25">
      <c r="I15591" s="199"/>
      <c r="J15591" s="199"/>
    </row>
    <row r="15592" spans="9:10" x14ac:dyDescent="0.25">
      <c r="I15592" s="199"/>
      <c r="J15592" s="199"/>
    </row>
    <row r="15593" spans="9:10" x14ac:dyDescent="0.25">
      <c r="I15593" s="199"/>
      <c r="J15593" s="199"/>
    </row>
    <row r="15594" spans="9:10" x14ac:dyDescent="0.25">
      <c r="I15594" s="199"/>
      <c r="J15594" s="199"/>
    </row>
    <row r="15595" spans="9:10" x14ac:dyDescent="0.25">
      <c r="I15595" s="199"/>
      <c r="J15595" s="199"/>
    </row>
    <row r="15596" spans="9:10" x14ac:dyDescent="0.25">
      <c r="I15596" s="199"/>
      <c r="J15596" s="199"/>
    </row>
    <row r="15597" spans="9:10" x14ac:dyDescent="0.25">
      <c r="I15597" s="199"/>
      <c r="J15597" s="199"/>
    </row>
    <row r="15598" spans="9:10" x14ac:dyDescent="0.25">
      <c r="I15598" s="199"/>
      <c r="J15598" s="199"/>
    </row>
    <row r="15599" spans="9:10" x14ac:dyDescent="0.25">
      <c r="I15599" s="199"/>
      <c r="J15599" s="199"/>
    </row>
    <row r="15600" spans="9:10" x14ac:dyDescent="0.25">
      <c r="I15600" s="199"/>
      <c r="J15600" s="199"/>
    </row>
    <row r="15601" spans="9:10" x14ac:dyDescent="0.25">
      <c r="I15601" s="199"/>
      <c r="J15601" s="199"/>
    </row>
    <row r="15602" spans="9:10" x14ac:dyDescent="0.25">
      <c r="I15602" s="199"/>
      <c r="J15602" s="199"/>
    </row>
    <row r="15603" spans="9:10" x14ac:dyDescent="0.25">
      <c r="I15603" s="199"/>
      <c r="J15603" s="199"/>
    </row>
    <row r="15604" spans="9:10" x14ac:dyDescent="0.25">
      <c r="I15604" s="199"/>
      <c r="J15604" s="199"/>
    </row>
    <row r="15605" spans="9:10" x14ac:dyDescent="0.25">
      <c r="I15605" s="199"/>
      <c r="J15605" s="199"/>
    </row>
    <row r="15606" spans="9:10" x14ac:dyDescent="0.25">
      <c r="I15606" s="199"/>
      <c r="J15606" s="199"/>
    </row>
    <row r="15607" spans="9:10" x14ac:dyDescent="0.25">
      <c r="I15607" s="199"/>
      <c r="J15607" s="199"/>
    </row>
    <row r="15608" spans="9:10" x14ac:dyDescent="0.25">
      <c r="I15608" s="199"/>
      <c r="J15608" s="199"/>
    </row>
    <row r="15609" spans="9:10" x14ac:dyDescent="0.25">
      <c r="I15609" s="199"/>
      <c r="J15609" s="199"/>
    </row>
    <row r="15610" spans="9:10" x14ac:dyDescent="0.25">
      <c r="I15610" s="199"/>
      <c r="J15610" s="199"/>
    </row>
    <row r="15611" spans="9:10" x14ac:dyDescent="0.25">
      <c r="I15611" s="199"/>
      <c r="J15611" s="199"/>
    </row>
    <row r="15612" spans="9:10" x14ac:dyDescent="0.25">
      <c r="I15612" s="199"/>
      <c r="J15612" s="199"/>
    </row>
    <row r="15613" spans="9:10" x14ac:dyDescent="0.25">
      <c r="I15613" s="199"/>
      <c r="J15613" s="199"/>
    </row>
    <row r="15614" spans="9:10" x14ac:dyDescent="0.25">
      <c r="I15614" s="199"/>
      <c r="J15614" s="199"/>
    </row>
    <row r="15615" spans="9:10" x14ac:dyDescent="0.25">
      <c r="I15615" s="199"/>
      <c r="J15615" s="199"/>
    </row>
    <row r="15616" spans="9:10" x14ac:dyDescent="0.25">
      <c r="I15616" s="199"/>
      <c r="J15616" s="199"/>
    </row>
    <row r="15617" spans="9:10" x14ac:dyDescent="0.25">
      <c r="I15617" s="199"/>
      <c r="J15617" s="199"/>
    </row>
    <row r="15618" spans="9:10" x14ac:dyDescent="0.25">
      <c r="I15618" s="199"/>
      <c r="J15618" s="199"/>
    </row>
    <row r="15619" spans="9:10" x14ac:dyDescent="0.25">
      <c r="I15619" s="199"/>
      <c r="J15619" s="199"/>
    </row>
    <row r="15620" spans="9:10" x14ac:dyDescent="0.25">
      <c r="I15620" s="199"/>
      <c r="J15620" s="199"/>
    </row>
    <row r="15621" spans="9:10" x14ac:dyDescent="0.25">
      <c r="I15621" s="199"/>
      <c r="J15621" s="199"/>
    </row>
    <row r="15622" spans="9:10" x14ac:dyDescent="0.25">
      <c r="I15622" s="199"/>
      <c r="J15622" s="199"/>
    </row>
    <row r="15623" spans="9:10" x14ac:dyDescent="0.25">
      <c r="I15623" s="199"/>
      <c r="J15623" s="199"/>
    </row>
    <row r="15624" spans="9:10" x14ac:dyDescent="0.25">
      <c r="I15624" s="199"/>
      <c r="J15624" s="199"/>
    </row>
    <row r="15625" spans="9:10" x14ac:dyDescent="0.25">
      <c r="I15625" s="199"/>
      <c r="J15625" s="199"/>
    </row>
    <row r="15626" spans="9:10" x14ac:dyDescent="0.25">
      <c r="I15626" s="199"/>
      <c r="J15626" s="199"/>
    </row>
    <row r="15627" spans="9:10" x14ac:dyDescent="0.25">
      <c r="I15627" s="199"/>
      <c r="J15627" s="199"/>
    </row>
    <row r="15628" spans="9:10" x14ac:dyDescent="0.25">
      <c r="I15628" s="199"/>
      <c r="J15628" s="199"/>
    </row>
    <row r="15629" spans="9:10" x14ac:dyDescent="0.25">
      <c r="I15629" s="199"/>
      <c r="J15629" s="199"/>
    </row>
    <row r="15630" spans="9:10" x14ac:dyDescent="0.25">
      <c r="I15630" s="199"/>
      <c r="J15630" s="199"/>
    </row>
    <row r="15631" spans="9:10" x14ac:dyDescent="0.25">
      <c r="I15631" s="199"/>
      <c r="J15631" s="199"/>
    </row>
    <row r="15632" spans="9:10" x14ac:dyDescent="0.25">
      <c r="I15632" s="199"/>
      <c r="J15632" s="199"/>
    </row>
    <row r="15633" spans="9:10" x14ac:dyDescent="0.25">
      <c r="I15633" s="199"/>
      <c r="J15633" s="199"/>
    </row>
    <row r="15634" spans="9:10" x14ac:dyDescent="0.25">
      <c r="I15634" s="199"/>
      <c r="J15634" s="199"/>
    </row>
    <row r="15635" spans="9:10" x14ac:dyDescent="0.25">
      <c r="I15635" s="199"/>
      <c r="J15635" s="199"/>
    </row>
    <row r="15636" spans="9:10" x14ac:dyDescent="0.25">
      <c r="I15636" s="199"/>
      <c r="J15636" s="199"/>
    </row>
    <row r="15637" spans="9:10" x14ac:dyDescent="0.25">
      <c r="I15637" s="199"/>
      <c r="J15637" s="199"/>
    </row>
    <row r="15638" spans="9:10" x14ac:dyDescent="0.25">
      <c r="I15638" s="199"/>
      <c r="J15638" s="199"/>
    </row>
    <row r="15639" spans="9:10" x14ac:dyDescent="0.25">
      <c r="I15639" s="199"/>
      <c r="J15639" s="199"/>
    </row>
    <row r="15640" spans="9:10" x14ac:dyDescent="0.25">
      <c r="I15640" s="199"/>
      <c r="J15640" s="199"/>
    </row>
    <row r="15641" spans="9:10" x14ac:dyDescent="0.25">
      <c r="I15641" s="199"/>
      <c r="J15641" s="199"/>
    </row>
    <row r="15642" spans="9:10" x14ac:dyDescent="0.25">
      <c r="I15642" s="199"/>
      <c r="J15642" s="199"/>
    </row>
    <row r="15643" spans="9:10" x14ac:dyDescent="0.25">
      <c r="I15643" s="199"/>
      <c r="J15643" s="199"/>
    </row>
    <row r="15644" spans="9:10" x14ac:dyDescent="0.25">
      <c r="I15644" s="199"/>
      <c r="J15644" s="199"/>
    </row>
    <row r="15645" spans="9:10" x14ac:dyDescent="0.25">
      <c r="I15645" s="199"/>
      <c r="J15645" s="199"/>
    </row>
    <row r="15646" spans="9:10" x14ac:dyDescent="0.25">
      <c r="I15646" s="199"/>
      <c r="J15646" s="199"/>
    </row>
    <row r="15647" spans="9:10" x14ac:dyDescent="0.25">
      <c r="I15647" s="199"/>
      <c r="J15647" s="199"/>
    </row>
    <row r="15648" spans="9:10" x14ac:dyDescent="0.25">
      <c r="I15648" s="199"/>
      <c r="J15648" s="199"/>
    </row>
    <row r="15649" spans="9:10" x14ac:dyDescent="0.25">
      <c r="I15649" s="199"/>
      <c r="J15649" s="199"/>
    </row>
    <row r="15650" spans="9:10" x14ac:dyDescent="0.25">
      <c r="I15650" s="199"/>
      <c r="J15650" s="199"/>
    </row>
    <row r="15651" spans="9:10" x14ac:dyDescent="0.25">
      <c r="I15651" s="199"/>
      <c r="J15651" s="199"/>
    </row>
    <row r="15652" spans="9:10" x14ac:dyDescent="0.25">
      <c r="I15652" s="199"/>
      <c r="J15652" s="199"/>
    </row>
    <row r="15653" spans="9:10" x14ac:dyDescent="0.25">
      <c r="I15653" s="199"/>
      <c r="J15653" s="199"/>
    </row>
    <row r="15654" spans="9:10" x14ac:dyDescent="0.25">
      <c r="I15654" s="199"/>
      <c r="J15654" s="199"/>
    </row>
    <row r="15655" spans="9:10" x14ac:dyDescent="0.25">
      <c r="I15655" s="199"/>
      <c r="J15655" s="199"/>
    </row>
    <row r="15656" spans="9:10" x14ac:dyDescent="0.25">
      <c r="I15656" s="199"/>
      <c r="J15656" s="199"/>
    </row>
    <row r="15657" spans="9:10" x14ac:dyDescent="0.25">
      <c r="I15657" s="199"/>
      <c r="J15657" s="199"/>
    </row>
    <row r="15658" spans="9:10" x14ac:dyDescent="0.25">
      <c r="I15658" s="199"/>
      <c r="J15658" s="199"/>
    </row>
    <row r="15659" spans="9:10" x14ac:dyDescent="0.25">
      <c r="I15659" s="199"/>
      <c r="J15659" s="199"/>
    </row>
    <row r="15660" spans="9:10" x14ac:dyDescent="0.25">
      <c r="I15660" s="199"/>
      <c r="J15660" s="199"/>
    </row>
    <row r="15661" spans="9:10" x14ac:dyDescent="0.25">
      <c r="I15661" s="199"/>
      <c r="J15661" s="199"/>
    </row>
    <row r="15662" spans="9:10" x14ac:dyDescent="0.25">
      <c r="I15662" s="199"/>
      <c r="J15662" s="199"/>
    </row>
    <row r="15663" spans="9:10" x14ac:dyDescent="0.25">
      <c r="I15663" s="199"/>
      <c r="J15663" s="199"/>
    </row>
    <row r="15664" spans="9:10" x14ac:dyDescent="0.25">
      <c r="I15664" s="199"/>
      <c r="J15664" s="199"/>
    </row>
    <row r="15665" spans="9:10" x14ac:dyDescent="0.25">
      <c r="I15665" s="199"/>
      <c r="J15665" s="199"/>
    </row>
    <row r="15666" spans="9:10" x14ac:dyDescent="0.25">
      <c r="I15666" s="199"/>
      <c r="J15666" s="199"/>
    </row>
    <row r="15667" spans="9:10" x14ac:dyDescent="0.25">
      <c r="I15667" s="199"/>
      <c r="J15667" s="199"/>
    </row>
    <row r="15668" spans="9:10" x14ac:dyDescent="0.25">
      <c r="I15668" s="199"/>
      <c r="J15668" s="199"/>
    </row>
    <row r="15669" spans="9:10" x14ac:dyDescent="0.25">
      <c r="I15669" s="199"/>
      <c r="J15669" s="199"/>
    </row>
    <row r="15670" spans="9:10" x14ac:dyDescent="0.25">
      <c r="I15670" s="199"/>
      <c r="J15670" s="199"/>
    </row>
    <row r="15671" spans="9:10" x14ac:dyDescent="0.25">
      <c r="I15671" s="199"/>
      <c r="J15671" s="199"/>
    </row>
    <row r="15672" spans="9:10" x14ac:dyDescent="0.25">
      <c r="I15672" s="199"/>
      <c r="J15672" s="199"/>
    </row>
    <row r="15673" spans="9:10" x14ac:dyDescent="0.25">
      <c r="I15673" s="199"/>
      <c r="J15673" s="199"/>
    </row>
    <row r="15674" spans="9:10" x14ac:dyDescent="0.25">
      <c r="I15674" s="199"/>
      <c r="J15674" s="199"/>
    </row>
    <row r="15675" spans="9:10" x14ac:dyDescent="0.25">
      <c r="I15675" s="199"/>
      <c r="J15675" s="199"/>
    </row>
    <row r="15676" spans="9:10" x14ac:dyDescent="0.25">
      <c r="I15676" s="199"/>
      <c r="J15676" s="199"/>
    </row>
    <row r="15677" spans="9:10" x14ac:dyDescent="0.25">
      <c r="I15677" s="199"/>
      <c r="J15677" s="199"/>
    </row>
    <row r="15678" spans="9:10" x14ac:dyDescent="0.25">
      <c r="I15678" s="199"/>
      <c r="J15678" s="199"/>
    </row>
    <row r="15679" spans="9:10" x14ac:dyDescent="0.25">
      <c r="I15679" s="199"/>
      <c r="J15679" s="199"/>
    </row>
    <row r="15680" spans="9:10" x14ac:dyDescent="0.25">
      <c r="I15680" s="199"/>
      <c r="J15680" s="199"/>
    </row>
    <row r="15681" spans="9:10" x14ac:dyDescent="0.25">
      <c r="I15681" s="199"/>
      <c r="J15681" s="199"/>
    </row>
    <row r="15682" spans="9:10" x14ac:dyDescent="0.25">
      <c r="I15682" s="199"/>
      <c r="J15682" s="199"/>
    </row>
    <row r="15683" spans="9:10" x14ac:dyDescent="0.25">
      <c r="I15683" s="199"/>
      <c r="J15683" s="199"/>
    </row>
    <row r="15684" spans="9:10" x14ac:dyDescent="0.25">
      <c r="I15684" s="199"/>
      <c r="J15684" s="199"/>
    </row>
    <row r="15685" spans="9:10" x14ac:dyDescent="0.25">
      <c r="I15685" s="199"/>
      <c r="J15685" s="199"/>
    </row>
    <row r="15686" spans="9:10" x14ac:dyDescent="0.25">
      <c r="I15686" s="199"/>
      <c r="J15686" s="199"/>
    </row>
    <row r="15687" spans="9:10" x14ac:dyDescent="0.25">
      <c r="I15687" s="199"/>
      <c r="J15687" s="199"/>
    </row>
    <row r="15688" spans="9:10" x14ac:dyDescent="0.25">
      <c r="I15688" s="199"/>
      <c r="J15688" s="199"/>
    </row>
    <row r="15689" spans="9:10" x14ac:dyDescent="0.25">
      <c r="I15689" s="199"/>
      <c r="J15689" s="199"/>
    </row>
    <row r="15690" spans="9:10" x14ac:dyDescent="0.25">
      <c r="I15690" s="199"/>
      <c r="J15690" s="199"/>
    </row>
    <row r="15691" spans="9:10" x14ac:dyDescent="0.25">
      <c r="I15691" s="199"/>
      <c r="J15691" s="199"/>
    </row>
    <row r="15692" spans="9:10" x14ac:dyDescent="0.25">
      <c r="I15692" s="199"/>
      <c r="J15692" s="199"/>
    </row>
    <row r="15693" spans="9:10" x14ac:dyDescent="0.25">
      <c r="I15693" s="199"/>
      <c r="J15693" s="199"/>
    </row>
    <row r="15694" spans="9:10" x14ac:dyDescent="0.25">
      <c r="I15694" s="199"/>
      <c r="J15694" s="199"/>
    </row>
    <row r="15695" spans="9:10" x14ac:dyDescent="0.25">
      <c r="I15695" s="199"/>
      <c r="J15695" s="199"/>
    </row>
    <row r="15696" spans="9:10" x14ac:dyDescent="0.25">
      <c r="I15696" s="199"/>
      <c r="J15696" s="199"/>
    </row>
    <row r="15697" spans="9:10" x14ac:dyDescent="0.25">
      <c r="I15697" s="199"/>
      <c r="J15697" s="199"/>
    </row>
    <row r="15698" spans="9:10" x14ac:dyDescent="0.25">
      <c r="I15698" s="199"/>
      <c r="J15698" s="199"/>
    </row>
    <row r="15699" spans="9:10" x14ac:dyDescent="0.25">
      <c r="I15699" s="199"/>
      <c r="J15699" s="199"/>
    </row>
    <row r="15700" spans="9:10" x14ac:dyDescent="0.25">
      <c r="I15700" s="199"/>
      <c r="J15700" s="199"/>
    </row>
    <row r="15701" spans="9:10" x14ac:dyDescent="0.25">
      <c r="I15701" s="199"/>
      <c r="J15701" s="199"/>
    </row>
    <row r="15702" spans="9:10" x14ac:dyDescent="0.25">
      <c r="I15702" s="199"/>
      <c r="J15702" s="199"/>
    </row>
    <row r="15703" spans="9:10" x14ac:dyDescent="0.25">
      <c r="I15703" s="199"/>
      <c r="J15703" s="199"/>
    </row>
    <row r="15704" spans="9:10" x14ac:dyDescent="0.25">
      <c r="I15704" s="199"/>
      <c r="J15704" s="199"/>
    </row>
    <row r="15705" spans="9:10" x14ac:dyDescent="0.25">
      <c r="I15705" s="199"/>
      <c r="J15705" s="199"/>
    </row>
    <row r="15706" spans="9:10" x14ac:dyDescent="0.25">
      <c r="I15706" s="199"/>
      <c r="J15706" s="199"/>
    </row>
    <row r="15707" spans="9:10" x14ac:dyDescent="0.25">
      <c r="I15707" s="199"/>
      <c r="J15707" s="199"/>
    </row>
    <row r="15708" spans="9:10" x14ac:dyDescent="0.25">
      <c r="I15708" s="199"/>
      <c r="J15708" s="199"/>
    </row>
    <row r="15709" spans="9:10" x14ac:dyDescent="0.25">
      <c r="I15709" s="199"/>
      <c r="J15709" s="199"/>
    </row>
    <row r="15710" spans="9:10" x14ac:dyDescent="0.25">
      <c r="I15710" s="199"/>
      <c r="J15710" s="199"/>
    </row>
    <row r="15711" spans="9:10" x14ac:dyDescent="0.25">
      <c r="I15711" s="199"/>
      <c r="J15711" s="199"/>
    </row>
    <row r="15712" spans="9:10" x14ac:dyDescent="0.25">
      <c r="I15712" s="199"/>
      <c r="J15712" s="199"/>
    </row>
    <row r="15713" spans="9:10" x14ac:dyDescent="0.25">
      <c r="I15713" s="199"/>
      <c r="J15713" s="199"/>
    </row>
    <row r="15714" spans="9:10" x14ac:dyDescent="0.25">
      <c r="I15714" s="199"/>
      <c r="J15714" s="199"/>
    </row>
    <row r="15715" spans="9:10" x14ac:dyDescent="0.25">
      <c r="I15715" s="199"/>
      <c r="J15715" s="199"/>
    </row>
    <row r="15716" spans="9:10" x14ac:dyDescent="0.25">
      <c r="I15716" s="199"/>
      <c r="J15716" s="199"/>
    </row>
    <row r="15717" spans="9:10" x14ac:dyDescent="0.25">
      <c r="I15717" s="199"/>
      <c r="J15717" s="199"/>
    </row>
    <row r="15718" spans="9:10" x14ac:dyDescent="0.25">
      <c r="I15718" s="199"/>
      <c r="J15718" s="199"/>
    </row>
    <row r="15719" spans="9:10" x14ac:dyDescent="0.25">
      <c r="I15719" s="199"/>
      <c r="J15719" s="199"/>
    </row>
    <row r="15720" spans="9:10" x14ac:dyDescent="0.25">
      <c r="I15720" s="199"/>
      <c r="J15720" s="199"/>
    </row>
    <row r="15721" spans="9:10" x14ac:dyDescent="0.25">
      <c r="I15721" s="199"/>
      <c r="J15721" s="199"/>
    </row>
    <row r="15722" spans="9:10" x14ac:dyDescent="0.25">
      <c r="I15722" s="199"/>
      <c r="J15722" s="199"/>
    </row>
    <row r="15723" spans="9:10" x14ac:dyDescent="0.25">
      <c r="I15723" s="199"/>
      <c r="J15723" s="199"/>
    </row>
    <row r="15724" spans="9:10" x14ac:dyDescent="0.25">
      <c r="I15724" s="199"/>
      <c r="J15724" s="199"/>
    </row>
    <row r="15725" spans="9:10" x14ac:dyDescent="0.25">
      <c r="I15725" s="199"/>
      <c r="J15725" s="199"/>
    </row>
    <row r="15726" spans="9:10" x14ac:dyDescent="0.25">
      <c r="I15726" s="199"/>
      <c r="J15726" s="199"/>
    </row>
    <row r="15727" spans="9:10" x14ac:dyDescent="0.25">
      <c r="I15727" s="199"/>
      <c r="J15727" s="199"/>
    </row>
    <row r="15728" spans="9:10" x14ac:dyDescent="0.25">
      <c r="I15728" s="199"/>
      <c r="J15728" s="199"/>
    </row>
    <row r="15729" spans="9:10" x14ac:dyDescent="0.25">
      <c r="I15729" s="199"/>
      <c r="J15729" s="199"/>
    </row>
    <row r="15730" spans="9:10" x14ac:dyDescent="0.25">
      <c r="I15730" s="199"/>
      <c r="J15730" s="199"/>
    </row>
    <row r="15731" spans="9:10" x14ac:dyDescent="0.25">
      <c r="I15731" s="199"/>
      <c r="J15731" s="199"/>
    </row>
    <row r="15732" spans="9:10" x14ac:dyDescent="0.25">
      <c r="I15732" s="199"/>
      <c r="J15732" s="199"/>
    </row>
    <row r="15733" spans="9:10" x14ac:dyDescent="0.25">
      <c r="I15733" s="199"/>
      <c r="J15733" s="199"/>
    </row>
    <row r="15734" spans="9:10" x14ac:dyDescent="0.25">
      <c r="I15734" s="199"/>
      <c r="J15734" s="199"/>
    </row>
    <row r="15735" spans="9:10" x14ac:dyDescent="0.25">
      <c r="I15735" s="199"/>
      <c r="J15735" s="199"/>
    </row>
    <row r="15736" spans="9:10" x14ac:dyDescent="0.25">
      <c r="I15736" s="199"/>
      <c r="J15736" s="199"/>
    </row>
    <row r="15737" spans="9:10" x14ac:dyDescent="0.25">
      <c r="I15737" s="199"/>
      <c r="J15737" s="199"/>
    </row>
    <row r="15738" spans="9:10" x14ac:dyDescent="0.25">
      <c r="I15738" s="199"/>
      <c r="J15738" s="199"/>
    </row>
    <row r="15739" spans="9:10" x14ac:dyDescent="0.25">
      <c r="I15739" s="199"/>
      <c r="J15739" s="199"/>
    </row>
    <row r="15740" spans="9:10" x14ac:dyDescent="0.25">
      <c r="I15740" s="199"/>
      <c r="J15740" s="199"/>
    </row>
    <row r="15741" spans="9:10" x14ac:dyDescent="0.25">
      <c r="I15741" s="199"/>
      <c r="J15741" s="199"/>
    </row>
    <row r="15742" spans="9:10" x14ac:dyDescent="0.25">
      <c r="I15742" s="199"/>
      <c r="J15742" s="199"/>
    </row>
    <row r="15743" spans="9:10" x14ac:dyDescent="0.25">
      <c r="I15743" s="199"/>
      <c r="J15743" s="199"/>
    </row>
    <row r="15744" spans="9:10" x14ac:dyDescent="0.25">
      <c r="I15744" s="199"/>
      <c r="J15744" s="199"/>
    </row>
    <row r="15745" spans="9:10" x14ac:dyDescent="0.25">
      <c r="I15745" s="199"/>
      <c r="J15745" s="199"/>
    </row>
    <row r="15746" spans="9:10" x14ac:dyDescent="0.25">
      <c r="I15746" s="199"/>
      <c r="J15746" s="199"/>
    </row>
    <row r="15747" spans="9:10" x14ac:dyDescent="0.25">
      <c r="I15747" s="199"/>
      <c r="J15747" s="199"/>
    </row>
    <row r="15748" spans="9:10" x14ac:dyDescent="0.25">
      <c r="I15748" s="199"/>
      <c r="J15748" s="199"/>
    </row>
    <row r="15749" spans="9:10" x14ac:dyDescent="0.25">
      <c r="I15749" s="199"/>
      <c r="J15749" s="199"/>
    </row>
    <row r="15750" spans="9:10" x14ac:dyDescent="0.25">
      <c r="I15750" s="199"/>
      <c r="J15750" s="199"/>
    </row>
    <row r="15751" spans="9:10" x14ac:dyDescent="0.25">
      <c r="I15751" s="199"/>
      <c r="J15751" s="199"/>
    </row>
    <row r="15752" spans="9:10" x14ac:dyDescent="0.25">
      <c r="I15752" s="199"/>
      <c r="J15752" s="199"/>
    </row>
    <row r="15753" spans="9:10" x14ac:dyDescent="0.25">
      <c r="I15753" s="199"/>
      <c r="J15753" s="199"/>
    </row>
    <row r="15754" spans="9:10" x14ac:dyDescent="0.25">
      <c r="I15754" s="199"/>
      <c r="J15754" s="199"/>
    </row>
    <row r="15755" spans="9:10" x14ac:dyDescent="0.25">
      <c r="I15755" s="199"/>
      <c r="J15755" s="199"/>
    </row>
    <row r="15756" spans="9:10" x14ac:dyDescent="0.25">
      <c r="I15756" s="199"/>
      <c r="J15756" s="199"/>
    </row>
    <row r="15757" spans="9:10" x14ac:dyDescent="0.25">
      <c r="I15757" s="199"/>
      <c r="J15757" s="199"/>
    </row>
    <row r="15758" spans="9:10" x14ac:dyDescent="0.25">
      <c r="I15758" s="199"/>
      <c r="J15758" s="199"/>
    </row>
    <row r="15759" spans="9:10" x14ac:dyDescent="0.25">
      <c r="I15759" s="199"/>
      <c r="J15759" s="199"/>
    </row>
    <row r="15760" spans="9:10" x14ac:dyDescent="0.25">
      <c r="I15760" s="199"/>
      <c r="J15760" s="199"/>
    </row>
    <row r="15761" spans="9:10" x14ac:dyDescent="0.25">
      <c r="I15761" s="199"/>
      <c r="J15761" s="199"/>
    </row>
    <row r="15762" spans="9:10" x14ac:dyDescent="0.25">
      <c r="I15762" s="199"/>
      <c r="J15762" s="199"/>
    </row>
    <row r="15763" spans="9:10" x14ac:dyDescent="0.25">
      <c r="I15763" s="199"/>
      <c r="J15763" s="199"/>
    </row>
    <row r="15764" spans="9:10" x14ac:dyDescent="0.25">
      <c r="I15764" s="199"/>
      <c r="J15764" s="199"/>
    </row>
    <row r="15765" spans="9:10" x14ac:dyDescent="0.25">
      <c r="I15765" s="199"/>
      <c r="J15765" s="199"/>
    </row>
    <row r="15766" spans="9:10" x14ac:dyDescent="0.25">
      <c r="I15766" s="199"/>
      <c r="J15766" s="199"/>
    </row>
    <row r="15767" spans="9:10" x14ac:dyDescent="0.25">
      <c r="I15767" s="199"/>
      <c r="J15767" s="199"/>
    </row>
    <row r="15768" spans="9:10" x14ac:dyDescent="0.25">
      <c r="I15768" s="199"/>
      <c r="J15768" s="199"/>
    </row>
    <row r="15769" spans="9:10" x14ac:dyDescent="0.25">
      <c r="I15769" s="199"/>
      <c r="J15769" s="199"/>
    </row>
    <row r="15770" spans="9:10" x14ac:dyDescent="0.25">
      <c r="I15770" s="199"/>
      <c r="J15770" s="199"/>
    </row>
    <row r="15771" spans="9:10" x14ac:dyDescent="0.25">
      <c r="I15771" s="199"/>
      <c r="J15771" s="199"/>
    </row>
    <row r="15772" spans="9:10" x14ac:dyDescent="0.25">
      <c r="I15772" s="199"/>
      <c r="J15772" s="199"/>
    </row>
    <row r="15773" spans="9:10" x14ac:dyDescent="0.25">
      <c r="I15773" s="199"/>
      <c r="J15773" s="199"/>
    </row>
    <row r="15774" spans="9:10" x14ac:dyDescent="0.25">
      <c r="I15774" s="199"/>
      <c r="J15774" s="199"/>
    </row>
    <row r="15775" spans="9:10" x14ac:dyDescent="0.25">
      <c r="I15775" s="199"/>
      <c r="J15775" s="199"/>
    </row>
    <row r="15776" spans="9:10" x14ac:dyDescent="0.25">
      <c r="I15776" s="199"/>
      <c r="J15776" s="199"/>
    </row>
    <row r="15777" spans="9:10" x14ac:dyDescent="0.25">
      <c r="I15777" s="199"/>
      <c r="J15777" s="199"/>
    </row>
    <row r="15778" spans="9:10" x14ac:dyDescent="0.25">
      <c r="I15778" s="199"/>
      <c r="J15778" s="199"/>
    </row>
    <row r="15779" spans="9:10" x14ac:dyDescent="0.25">
      <c r="I15779" s="199"/>
      <c r="J15779" s="199"/>
    </row>
    <row r="15780" spans="9:10" x14ac:dyDescent="0.25">
      <c r="I15780" s="199"/>
      <c r="J15780" s="199"/>
    </row>
    <row r="15781" spans="9:10" x14ac:dyDescent="0.25">
      <c r="I15781" s="199"/>
      <c r="J15781" s="199"/>
    </row>
    <row r="15782" spans="9:10" x14ac:dyDescent="0.25">
      <c r="I15782" s="199"/>
      <c r="J15782" s="199"/>
    </row>
    <row r="15783" spans="9:10" x14ac:dyDescent="0.25">
      <c r="I15783" s="199"/>
      <c r="J15783" s="199"/>
    </row>
    <row r="15784" spans="9:10" x14ac:dyDescent="0.25">
      <c r="I15784" s="199"/>
      <c r="J15784" s="199"/>
    </row>
    <row r="15785" spans="9:10" x14ac:dyDescent="0.25">
      <c r="I15785" s="199"/>
      <c r="J15785" s="199"/>
    </row>
    <row r="15786" spans="9:10" x14ac:dyDescent="0.25">
      <c r="I15786" s="199"/>
      <c r="J15786" s="199"/>
    </row>
    <row r="15787" spans="9:10" x14ac:dyDescent="0.25">
      <c r="I15787" s="199"/>
      <c r="J15787" s="199"/>
    </row>
    <row r="15788" spans="9:10" x14ac:dyDescent="0.25">
      <c r="I15788" s="199"/>
      <c r="J15788" s="199"/>
    </row>
    <row r="15789" spans="9:10" x14ac:dyDescent="0.25">
      <c r="I15789" s="199"/>
      <c r="J15789" s="199"/>
    </row>
    <row r="15790" spans="9:10" x14ac:dyDescent="0.25">
      <c r="I15790" s="199"/>
      <c r="J15790" s="199"/>
    </row>
    <row r="15791" spans="9:10" x14ac:dyDescent="0.25">
      <c r="I15791" s="199"/>
      <c r="J15791" s="199"/>
    </row>
    <row r="15792" spans="9:10" x14ac:dyDescent="0.25">
      <c r="I15792" s="199"/>
      <c r="J15792" s="199"/>
    </row>
    <row r="15793" spans="9:10" x14ac:dyDescent="0.25">
      <c r="I15793" s="199"/>
      <c r="J15793" s="199"/>
    </row>
    <row r="15794" spans="9:10" x14ac:dyDescent="0.25">
      <c r="I15794" s="199"/>
      <c r="J15794" s="199"/>
    </row>
    <row r="15795" spans="9:10" x14ac:dyDescent="0.25">
      <c r="I15795" s="199"/>
      <c r="J15795" s="199"/>
    </row>
    <row r="15796" spans="9:10" x14ac:dyDescent="0.25">
      <c r="I15796" s="199"/>
      <c r="J15796" s="199"/>
    </row>
    <row r="15797" spans="9:10" x14ac:dyDescent="0.25">
      <c r="I15797" s="199"/>
      <c r="J15797" s="199"/>
    </row>
    <row r="15798" spans="9:10" x14ac:dyDescent="0.25">
      <c r="I15798" s="199"/>
      <c r="J15798" s="199"/>
    </row>
    <row r="15799" spans="9:10" x14ac:dyDescent="0.25">
      <c r="I15799" s="199"/>
      <c r="J15799" s="199"/>
    </row>
    <row r="15800" spans="9:10" x14ac:dyDescent="0.25">
      <c r="I15800" s="199"/>
      <c r="J15800" s="199"/>
    </row>
    <row r="15801" spans="9:10" x14ac:dyDescent="0.25">
      <c r="I15801" s="199"/>
      <c r="J15801" s="199"/>
    </row>
    <row r="15802" spans="9:10" x14ac:dyDescent="0.25">
      <c r="I15802" s="199"/>
      <c r="J15802" s="199"/>
    </row>
    <row r="15803" spans="9:10" x14ac:dyDescent="0.25">
      <c r="I15803" s="199"/>
      <c r="J15803" s="199"/>
    </row>
    <row r="15804" spans="9:10" x14ac:dyDescent="0.25">
      <c r="I15804" s="199"/>
      <c r="J15804" s="199"/>
    </row>
    <row r="15805" spans="9:10" x14ac:dyDescent="0.25">
      <c r="I15805" s="199"/>
      <c r="J15805" s="199"/>
    </row>
    <row r="15806" spans="9:10" x14ac:dyDescent="0.25">
      <c r="I15806" s="199"/>
      <c r="J15806" s="199"/>
    </row>
    <row r="15807" spans="9:10" x14ac:dyDescent="0.25">
      <c r="I15807" s="199"/>
      <c r="J15807" s="199"/>
    </row>
    <row r="15808" spans="9:10" x14ac:dyDescent="0.25">
      <c r="I15808" s="199"/>
      <c r="J15808" s="199"/>
    </row>
    <row r="15809" spans="9:10" x14ac:dyDescent="0.25">
      <c r="I15809" s="199"/>
      <c r="J15809" s="199"/>
    </row>
    <row r="15810" spans="9:10" x14ac:dyDescent="0.25">
      <c r="I15810" s="199"/>
      <c r="J15810" s="199"/>
    </row>
    <row r="15811" spans="9:10" x14ac:dyDescent="0.25">
      <c r="I15811" s="199"/>
      <c r="J15811" s="199"/>
    </row>
    <row r="15812" spans="9:10" x14ac:dyDescent="0.25">
      <c r="I15812" s="199"/>
      <c r="J15812" s="199"/>
    </row>
    <row r="15813" spans="9:10" x14ac:dyDescent="0.25">
      <c r="I15813" s="199"/>
      <c r="J15813" s="199"/>
    </row>
    <row r="15814" spans="9:10" x14ac:dyDescent="0.25">
      <c r="I15814" s="199"/>
      <c r="J15814" s="199"/>
    </row>
    <row r="15815" spans="9:10" x14ac:dyDescent="0.25">
      <c r="I15815" s="199"/>
      <c r="J15815" s="199"/>
    </row>
    <row r="15816" spans="9:10" x14ac:dyDescent="0.25">
      <c r="I15816" s="199"/>
      <c r="J15816" s="199"/>
    </row>
    <row r="15817" spans="9:10" x14ac:dyDescent="0.25">
      <c r="I15817" s="199"/>
      <c r="J15817" s="199"/>
    </row>
    <row r="15818" spans="9:10" x14ac:dyDescent="0.25">
      <c r="I15818" s="199"/>
      <c r="J15818" s="199"/>
    </row>
    <row r="15819" spans="9:10" x14ac:dyDescent="0.25">
      <c r="I15819" s="199"/>
      <c r="J15819" s="199"/>
    </row>
    <row r="15820" spans="9:10" x14ac:dyDescent="0.25">
      <c r="I15820" s="199"/>
      <c r="J15820" s="199"/>
    </row>
    <row r="15821" spans="9:10" x14ac:dyDescent="0.25">
      <c r="I15821" s="199"/>
      <c r="J15821" s="199"/>
    </row>
    <row r="15822" spans="9:10" x14ac:dyDescent="0.25">
      <c r="I15822" s="199"/>
      <c r="J15822" s="199"/>
    </row>
    <row r="15823" spans="9:10" x14ac:dyDescent="0.25">
      <c r="I15823" s="199"/>
      <c r="J15823" s="199"/>
    </row>
    <row r="15824" spans="9:10" x14ac:dyDescent="0.25">
      <c r="I15824" s="199"/>
      <c r="J15824" s="199"/>
    </row>
    <row r="15825" spans="9:10" x14ac:dyDescent="0.25">
      <c r="I15825" s="199"/>
      <c r="J15825" s="199"/>
    </row>
    <row r="15826" spans="9:10" x14ac:dyDescent="0.25">
      <c r="I15826" s="199"/>
      <c r="J15826" s="199"/>
    </row>
    <row r="15827" spans="9:10" x14ac:dyDescent="0.25">
      <c r="I15827" s="199"/>
      <c r="J15827" s="199"/>
    </row>
    <row r="15828" spans="9:10" x14ac:dyDescent="0.25">
      <c r="I15828" s="199"/>
      <c r="J15828" s="199"/>
    </row>
    <row r="15829" spans="9:10" x14ac:dyDescent="0.25">
      <c r="I15829" s="199"/>
      <c r="J15829" s="199"/>
    </row>
    <row r="15830" spans="9:10" x14ac:dyDescent="0.25">
      <c r="I15830" s="199"/>
      <c r="J15830" s="199"/>
    </row>
    <row r="15831" spans="9:10" x14ac:dyDescent="0.25">
      <c r="I15831" s="199"/>
      <c r="J15831" s="199"/>
    </row>
    <row r="15832" spans="9:10" x14ac:dyDescent="0.25">
      <c r="I15832" s="199"/>
      <c r="J15832" s="199"/>
    </row>
    <row r="15833" spans="9:10" x14ac:dyDescent="0.25">
      <c r="I15833" s="199"/>
      <c r="J15833" s="199"/>
    </row>
    <row r="15834" spans="9:10" x14ac:dyDescent="0.25">
      <c r="I15834" s="199"/>
      <c r="J15834" s="199"/>
    </row>
    <row r="15835" spans="9:10" x14ac:dyDescent="0.25">
      <c r="I15835" s="199"/>
      <c r="J15835" s="199"/>
    </row>
    <row r="15836" spans="9:10" x14ac:dyDescent="0.25">
      <c r="I15836" s="199"/>
      <c r="J15836" s="199"/>
    </row>
    <row r="15837" spans="9:10" x14ac:dyDescent="0.25">
      <c r="I15837" s="199"/>
      <c r="J15837" s="199"/>
    </row>
    <row r="15838" spans="9:10" x14ac:dyDescent="0.25">
      <c r="I15838" s="199"/>
      <c r="J15838" s="199"/>
    </row>
    <row r="15839" spans="9:10" x14ac:dyDescent="0.25">
      <c r="I15839" s="199"/>
      <c r="J15839" s="199"/>
    </row>
    <row r="15840" spans="9:10" x14ac:dyDescent="0.25">
      <c r="I15840" s="199"/>
      <c r="J15840" s="199"/>
    </row>
    <row r="15841" spans="9:10" x14ac:dyDescent="0.25">
      <c r="I15841" s="199"/>
      <c r="J15841" s="199"/>
    </row>
    <row r="15842" spans="9:10" x14ac:dyDescent="0.25">
      <c r="I15842" s="199"/>
      <c r="J15842" s="199"/>
    </row>
    <row r="15843" spans="9:10" x14ac:dyDescent="0.25">
      <c r="I15843" s="199"/>
      <c r="J15843" s="199"/>
    </row>
    <row r="15844" spans="9:10" x14ac:dyDescent="0.25">
      <c r="I15844" s="199"/>
      <c r="J15844" s="199"/>
    </row>
    <row r="15845" spans="9:10" x14ac:dyDescent="0.25">
      <c r="I15845" s="199"/>
      <c r="J15845" s="199"/>
    </row>
    <row r="15846" spans="9:10" x14ac:dyDescent="0.25">
      <c r="I15846" s="199"/>
      <c r="J15846" s="199"/>
    </row>
    <row r="15847" spans="9:10" x14ac:dyDescent="0.25">
      <c r="I15847" s="199"/>
      <c r="J15847" s="199"/>
    </row>
    <row r="15848" spans="9:10" x14ac:dyDescent="0.25">
      <c r="I15848" s="199"/>
      <c r="J15848" s="199"/>
    </row>
    <row r="15849" spans="9:10" x14ac:dyDescent="0.25">
      <c r="I15849" s="199"/>
      <c r="J15849" s="199"/>
    </row>
    <row r="15850" spans="9:10" x14ac:dyDescent="0.25">
      <c r="I15850" s="199"/>
      <c r="J15850" s="199"/>
    </row>
    <row r="15851" spans="9:10" x14ac:dyDescent="0.25">
      <c r="I15851" s="199"/>
      <c r="J15851" s="199"/>
    </row>
    <row r="15852" spans="9:10" x14ac:dyDescent="0.25">
      <c r="I15852" s="199"/>
      <c r="J15852" s="199"/>
    </row>
    <row r="15853" spans="9:10" x14ac:dyDescent="0.25">
      <c r="I15853" s="199"/>
      <c r="J15853" s="199"/>
    </row>
    <row r="15854" spans="9:10" x14ac:dyDescent="0.25">
      <c r="I15854" s="199"/>
      <c r="J15854" s="199"/>
    </row>
    <row r="15855" spans="9:10" x14ac:dyDescent="0.25">
      <c r="I15855" s="199"/>
      <c r="J15855" s="199"/>
    </row>
    <row r="15856" spans="9:10" x14ac:dyDescent="0.25">
      <c r="I15856" s="199"/>
      <c r="J15856" s="199"/>
    </row>
    <row r="15857" spans="9:10" x14ac:dyDescent="0.25">
      <c r="I15857" s="199"/>
      <c r="J15857" s="199"/>
    </row>
    <row r="15858" spans="9:10" x14ac:dyDescent="0.25">
      <c r="I15858" s="199"/>
      <c r="J15858" s="199"/>
    </row>
    <row r="15859" spans="9:10" x14ac:dyDescent="0.25">
      <c r="I15859" s="199"/>
      <c r="J15859" s="199"/>
    </row>
    <row r="15860" spans="9:10" x14ac:dyDescent="0.25">
      <c r="I15860" s="199"/>
      <c r="J15860" s="199"/>
    </row>
    <row r="15861" spans="9:10" x14ac:dyDescent="0.25">
      <c r="I15861" s="199"/>
      <c r="J15861" s="199"/>
    </row>
    <row r="15862" spans="9:10" x14ac:dyDescent="0.25">
      <c r="I15862" s="199"/>
      <c r="J15862" s="199"/>
    </row>
    <row r="15863" spans="9:10" x14ac:dyDescent="0.25">
      <c r="I15863" s="199"/>
      <c r="J15863" s="199"/>
    </row>
    <row r="15864" spans="9:10" x14ac:dyDescent="0.25">
      <c r="I15864" s="199"/>
      <c r="J15864" s="199"/>
    </row>
    <row r="15865" spans="9:10" x14ac:dyDescent="0.25">
      <c r="I15865" s="199"/>
      <c r="J15865" s="199"/>
    </row>
    <row r="15866" spans="9:10" x14ac:dyDescent="0.25">
      <c r="I15866" s="199"/>
      <c r="J15866" s="199"/>
    </row>
    <row r="15867" spans="9:10" x14ac:dyDescent="0.25">
      <c r="I15867" s="199"/>
      <c r="J15867" s="199"/>
    </row>
    <row r="15868" spans="9:10" x14ac:dyDescent="0.25">
      <c r="I15868" s="199"/>
      <c r="J15868" s="199"/>
    </row>
    <row r="15869" spans="9:10" x14ac:dyDescent="0.25">
      <c r="I15869" s="199"/>
      <c r="J15869" s="199"/>
    </row>
    <row r="15870" spans="9:10" x14ac:dyDescent="0.25">
      <c r="I15870" s="199"/>
      <c r="J15870" s="199"/>
    </row>
    <row r="15871" spans="9:10" x14ac:dyDescent="0.25">
      <c r="I15871" s="199"/>
      <c r="J15871" s="199"/>
    </row>
    <row r="15872" spans="9:10" x14ac:dyDescent="0.25">
      <c r="I15872" s="199"/>
      <c r="J15872" s="199"/>
    </row>
    <row r="15873" spans="9:10" x14ac:dyDescent="0.25">
      <c r="I15873" s="199"/>
      <c r="J15873" s="199"/>
    </row>
    <row r="15874" spans="9:10" x14ac:dyDescent="0.25">
      <c r="I15874" s="199"/>
      <c r="J15874" s="199"/>
    </row>
    <row r="15875" spans="9:10" x14ac:dyDescent="0.25">
      <c r="I15875" s="199"/>
      <c r="J15875" s="199"/>
    </row>
    <row r="15876" spans="9:10" x14ac:dyDescent="0.25">
      <c r="I15876" s="199"/>
      <c r="J15876" s="199"/>
    </row>
    <row r="15877" spans="9:10" x14ac:dyDescent="0.25">
      <c r="I15877" s="199"/>
      <c r="J15877" s="199"/>
    </row>
    <row r="15878" spans="9:10" x14ac:dyDescent="0.25">
      <c r="I15878" s="199"/>
      <c r="J15878" s="199"/>
    </row>
    <row r="15879" spans="9:10" x14ac:dyDescent="0.25">
      <c r="I15879" s="199"/>
      <c r="J15879" s="199"/>
    </row>
    <row r="15880" spans="9:10" x14ac:dyDescent="0.25">
      <c r="I15880" s="199"/>
      <c r="J15880" s="199"/>
    </row>
    <row r="15881" spans="9:10" x14ac:dyDescent="0.25">
      <c r="I15881" s="199"/>
      <c r="J15881" s="199"/>
    </row>
    <row r="15882" spans="9:10" x14ac:dyDescent="0.25">
      <c r="I15882" s="199"/>
      <c r="J15882" s="199"/>
    </row>
    <row r="15883" spans="9:10" x14ac:dyDescent="0.25">
      <c r="I15883" s="199"/>
      <c r="J15883" s="199"/>
    </row>
    <row r="15884" spans="9:10" x14ac:dyDescent="0.25">
      <c r="I15884" s="199"/>
      <c r="J15884" s="199"/>
    </row>
    <row r="15885" spans="9:10" x14ac:dyDescent="0.25">
      <c r="I15885" s="199"/>
      <c r="J15885" s="199"/>
    </row>
    <row r="15886" spans="9:10" x14ac:dyDescent="0.25">
      <c r="I15886" s="199"/>
      <c r="J15886" s="199"/>
    </row>
    <row r="15887" spans="9:10" x14ac:dyDescent="0.25">
      <c r="I15887" s="199"/>
      <c r="J15887" s="199"/>
    </row>
    <row r="15888" spans="9:10" x14ac:dyDescent="0.25">
      <c r="I15888" s="199"/>
      <c r="J15888" s="199"/>
    </row>
    <row r="15889" spans="9:10" x14ac:dyDescent="0.25">
      <c r="I15889" s="199"/>
      <c r="J15889" s="199"/>
    </row>
    <row r="15890" spans="9:10" x14ac:dyDescent="0.25">
      <c r="I15890" s="199"/>
      <c r="J15890" s="199"/>
    </row>
    <row r="15891" spans="9:10" x14ac:dyDescent="0.25">
      <c r="I15891" s="199"/>
      <c r="J15891" s="199"/>
    </row>
    <row r="15892" spans="9:10" x14ac:dyDescent="0.25">
      <c r="I15892" s="199"/>
      <c r="J15892" s="199"/>
    </row>
    <row r="15893" spans="9:10" x14ac:dyDescent="0.25">
      <c r="I15893" s="199"/>
      <c r="J15893" s="199"/>
    </row>
    <row r="15894" spans="9:10" x14ac:dyDescent="0.25">
      <c r="I15894" s="199"/>
      <c r="J15894" s="199"/>
    </row>
    <row r="15895" spans="9:10" x14ac:dyDescent="0.25">
      <c r="I15895" s="199"/>
      <c r="J15895" s="199"/>
    </row>
    <row r="15896" spans="9:10" x14ac:dyDescent="0.25">
      <c r="I15896" s="199"/>
      <c r="J15896" s="199"/>
    </row>
    <row r="15897" spans="9:10" x14ac:dyDescent="0.25">
      <c r="I15897" s="199"/>
      <c r="J15897" s="199"/>
    </row>
    <row r="15898" spans="9:10" x14ac:dyDescent="0.25">
      <c r="I15898" s="199"/>
      <c r="J15898" s="199"/>
    </row>
    <row r="15899" spans="9:10" x14ac:dyDescent="0.25">
      <c r="I15899" s="199"/>
      <c r="J15899" s="199"/>
    </row>
    <row r="15900" spans="9:10" x14ac:dyDescent="0.25">
      <c r="I15900" s="199"/>
      <c r="J15900" s="199"/>
    </row>
    <row r="15901" spans="9:10" x14ac:dyDescent="0.25">
      <c r="I15901" s="199"/>
      <c r="J15901" s="199"/>
    </row>
    <row r="15902" spans="9:10" x14ac:dyDescent="0.25">
      <c r="I15902" s="199"/>
      <c r="J15902" s="199"/>
    </row>
    <row r="15903" spans="9:10" x14ac:dyDescent="0.25">
      <c r="I15903" s="199"/>
      <c r="J15903" s="199"/>
    </row>
    <row r="15904" spans="9:10" x14ac:dyDescent="0.25">
      <c r="I15904" s="199"/>
      <c r="J15904" s="199"/>
    </row>
    <row r="15905" spans="9:10" x14ac:dyDescent="0.25">
      <c r="I15905" s="199"/>
      <c r="J15905" s="199"/>
    </row>
    <row r="15906" spans="9:10" x14ac:dyDescent="0.25">
      <c r="I15906" s="199"/>
      <c r="J15906" s="199"/>
    </row>
    <row r="15907" spans="9:10" x14ac:dyDescent="0.25">
      <c r="I15907" s="199"/>
      <c r="J15907" s="199"/>
    </row>
    <row r="15908" spans="9:10" x14ac:dyDescent="0.25">
      <c r="I15908" s="199"/>
      <c r="J15908" s="199"/>
    </row>
    <row r="15909" spans="9:10" x14ac:dyDescent="0.25">
      <c r="I15909" s="199"/>
      <c r="J15909" s="199"/>
    </row>
    <row r="15910" spans="9:10" x14ac:dyDescent="0.25">
      <c r="I15910" s="199"/>
      <c r="J15910" s="199"/>
    </row>
    <row r="15911" spans="9:10" x14ac:dyDescent="0.25">
      <c r="I15911" s="199"/>
      <c r="J15911" s="199"/>
    </row>
    <row r="15912" spans="9:10" x14ac:dyDescent="0.25">
      <c r="I15912" s="199"/>
      <c r="J15912" s="199"/>
    </row>
    <row r="15913" spans="9:10" x14ac:dyDescent="0.25">
      <c r="I15913" s="199"/>
      <c r="J15913" s="199"/>
    </row>
    <row r="15914" spans="9:10" x14ac:dyDescent="0.25">
      <c r="I15914" s="199"/>
      <c r="J15914" s="199"/>
    </row>
    <row r="15915" spans="9:10" x14ac:dyDescent="0.25">
      <c r="I15915" s="199"/>
      <c r="J15915" s="199"/>
    </row>
    <row r="15916" spans="9:10" x14ac:dyDescent="0.25">
      <c r="I15916" s="199"/>
      <c r="J15916" s="199"/>
    </row>
    <row r="15917" spans="9:10" x14ac:dyDescent="0.25">
      <c r="I15917" s="199"/>
      <c r="J15917" s="199"/>
    </row>
    <row r="15918" spans="9:10" x14ac:dyDescent="0.25">
      <c r="I15918" s="199"/>
      <c r="J15918" s="199"/>
    </row>
    <row r="15919" spans="9:10" x14ac:dyDescent="0.25">
      <c r="I15919" s="199"/>
      <c r="J15919" s="199"/>
    </row>
    <row r="15920" spans="9:10" x14ac:dyDescent="0.25">
      <c r="I15920" s="199"/>
      <c r="J15920" s="199"/>
    </row>
    <row r="15921" spans="9:10" x14ac:dyDescent="0.25">
      <c r="I15921" s="199"/>
      <c r="J15921" s="199"/>
    </row>
    <row r="15922" spans="9:10" x14ac:dyDescent="0.25">
      <c r="I15922" s="199"/>
      <c r="J15922" s="199"/>
    </row>
    <row r="15923" spans="9:10" x14ac:dyDescent="0.25">
      <c r="I15923" s="199"/>
      <c r="J15923" s="199"/>
    </row>
    <row r="15924" spans="9:10" x14ac:dyDescent="0.25">
      <c r="I15924" s="199"/>
      <c r="J15924" s="199"/>
    </row>
    <row r="15925" spans="9:10" x14ac:dyDescent="0.25">
      <c r="I15925" s="199"/>
      <c r="J15925" s="199"/>
    </row>
    <row r="15926" spans="9:10" x14ac:dyDescent="0.25">
      <c r="I15926" s="199"/>
      <c r="J15926" s="199"/>
    </row>
    <row r="15927" spans="9:10" x14ac:dyDescent="0.25">
      <c r="I15927" s="199"/>
      <c r="J15927" s="199"/>
    </row>
    <row r="15928" spans="9:10" x14ac:dyDescent="0.25">
      <c r="I15928" s="199"/>
      <c r="J15928" s="199"/>
    </row>
    <row r="15929" spans="9:10" x14ac:dyDescent="0.25">
      <c r="I15929" s="199"/>
      <c r="J15929" s="199"/>
    </row>
    <row r="15930" spans="9:10" x14ac:dyDescent="0.25">
      <c r="I15930" s="199"/>
      <c r="J15930" s="199"/>
    </row>
    <row r="15931" spans="9:10" x14ac:dyDescent="0.25">
      <c r="I15931" s="199"/>
      <c r="J15931" s="199"/>
    </row>
    <row r="15932" spans="9:10" x14ac:dyDescent="0.25">
      <c r="I15932" s="199"/>
      <c r="J15932" s="199"/>
    </row>
    <row r="15933" spans="9:10" x14ac:dyDescent="0.25">
      <c r="I15933" s="199"/>
      <c r="J15933" s="199"/>
    </row>
    <row r="15934" spans="9:10" x14ac:dyDescent="0.25">
      <c r="I15934" s="199"/>
      <c r="J15934" s="199"/>
    </row>
    <row r="15935" spans="9:10" x14ac:dyDescent="0.25">
      <c r="I15935" s="199"/>
      <c r="J15935" s="199"/>
    </row>
    <row r="15936" spans="9:10" x14ac:dyDescent="0.25">
      <c r="I15936" s="199"/>
      <c r="J15936" s="199"/>
    </row>
    <row r="15937" spans="9:10" x14ac:dyDescent="0.25">
      <c r="I15937" s="199"/>
      <c r="J15937" s="199"/>
    </row>
    <row r="15938" spans="9:10" x14ac:dyDescent="0.25">
      <c r="I15938" s="199"/>
      <c r="J15938" s="199"/>
    </row>
    <row r="15939" spans="9:10" x14ac:dyDescent="0.25">
      <c r="I15939" s="199"/>
      <c r="J15939" s="199"/>
    </row>
    <row r="15940" spans="9:10" x14ac:dyDescent="0.25">
      <c r="I15940" s="199"/>
      <c r="J15940" s="199"/>
    </row>
    <row r="15941" spans="9:10" x14ac:dyDescent="0.25">
      <c r="I15941" s="199"/>
      <c r="J15941" s="199"/>
    </row>
    <row r="15942" spans="9:10" x14ac:dyDescent="0.25">
      <c r="I15942" s="199"/>
      <c r="J15942" s="199"/>
    </row>
    <row r="15943" spans="9:10" x14ac:dyDescent="0.25">
      <c r="I15943" s="199"/>
      <c r="J15943" s="199"/>
    </row>
    <row r="15944" spans="9:10" x14ac:dyDescent="0.25">
      <c r="I15944" s="199"/>
      <c r="J15944" s="199"/>
    </row>
    <row r="15945" spans="9:10" x14ac:dyDescent="0.25">
      <c r="I15945" s="199"/>
      <c r="J15945" s="199"/>
    </row>
    <row r="15946" spans="9:10" x14ac:dyDescent="0.25">
      <c r="I15946" s="199"/>
      <c r="J15946" s="199"/>
    </row>
    <row r="15947" spans="9:10" x14ac:dyDescent="0.25">
      <c r="I15947" s="199"/>
      <c r="J15947" s="199"/>
    </row>
    <row r="15948" spans="9:10" x14ac:dyDescent="0.25">
      <c r="I15948" s="199"/>
      <c r="J15948" s="199"/>
    </row>
    <row r="15949" spans="9:10" x14ac:dyDescent="0.25">
      <c r="I15949" s="199"/>
      <c r="J15949" s="199"/>
    </row>
    <row r="15950" spans="9:10" x14ac:dyDescent="0.25">
      <c r="I15950" s="199"/>
      <c r="J15950" s="199"/>
    </row>
    <row r="15951" spans="9:10" x14ac:dyDescent="0.25">
      <c r="I15951" s="199"/>
      <c r="J15951" s="199"/>
    </row>
    <row r="15952" spans="9:10" x14ac:dyDescent="0.25">
      <c r="I15952" s="199"/>
      <c r="J15952" s="199"/>
    </row>
    <row r="15953" spans="9:10" x14ac:dyDescent="0.25">
      <c r="I15953" s="199"/>
      <c r="J15953" s="199"/>
    </row>
    <row r="15954" spans="9:10" x14ac:dyDescent="0.25">
      <c r="I15954" s="199"/>
      <c r="J15954" s="199"/>
    </row>
    <row r="15955" spans="9:10" x14ac:dyDescent="0.25">
      <c r="I15955" s="199"/>
      <c r="J15955" s="199"/>
    </row>
    <row r="15956" spans="9:10" x14ac:dyDescent="0.25">
      <c r="I15956" s="199"/>
      <c r="J15956" s="199"/>
    </row>
    <row r="15957" spans="9:10" x14ac:dyDescent="0.25">
      <c r="I15957" s="199"/>
      <c r="J15957" s="199"/>
    </row>
    <row r="15958" spans="9:10" x14ac:dyDescent="0.25">
      <c r="I15958" s="199"/>
      <c r="J15958" s="199"/>
    </row>
    <row r="15959" spans="9:10" x14ac:dyDescent="0.25">
      <c r="I15959" s="199"/>
      <c r="J15959" s="199"/>
    </row>
    <row r="15960" spans="9:10" x14ac:dyDescent="0.25">
      <c r="I15960" s="199"/>
      <c r="J15960" s="199"/>
    </row>
    <row r="15961" spans="9:10" x14ac:dyDescent="0.25">
      <c r="I15961" s="199"/>
      <c r="J15961" s="199"/>
    </row>
    <row r="15962" spans="9:10" x14ac:dyDescent="0.25">
      <c r="I15962" s="199"/>
      <c r="J15962" s="199"/>
    </row>
    <row r="15963" spans="9:10" x14ac:dyDescent="0.25">
      <c r="I15963" s="199"/>
      <c r="J15963" s="199"/>
    </row>
    <row r="15964" spans="9:10" x14ac:dyDescent="0.25">
      <c r="I15964" s="199"/>
      <c r="J15964" s="199"/>
    </row>
    <row r="15965" spans="9:10" x14ac:dyDescent="0.25">
      <c r="I15965" s="199"/>
      <c r="J15965" s="199"/>
    </row>
    <row r="15966" spans="9:10" x14ac:dyDescent="0.25">
      <c r="I15966" s="199"/>
      <c r="J15966" s="199"/>
    </row>
    <row r="15967" spans="9:10" x14ac:dyDescent="0.25">
      <c r="I15967" s="199"/>
      <c r="J15967" s="199"/>
    </row>
    <row r="15968" spans="9:10" x14ac:dyDescent="0.25">
      <c r="I15968" s="199"/>
      <c r="J15968" s="199"/>
    </row>
    <row r="15969" spans="9:10" x14ac:dyDescent="0.25">
      <c r="I15969" s="199"/>
      <c r="J15969" s="199"/>
    </row>
    <row r="15970" spans="9:10" x14ac:dyDescent="0.25">
      <c r="I15970" s="199"/>
      <c r="J15970" s="199"/>
    </row>
    <row r="15971" spans="9:10" x14ac:dyDescent="0.25">
      <c r="I15971" s="199"/>
      <c r="J15971" s="199"/>
    </row>
    <row r="15972" spans="9:10" x14ac:dyDescent="0.25">
      <c r="I15972" s="199"/>
      <c r="J15972" s="199"/>
    </row>
    <row r="15973" spans="9:10" x14ac:dyDescent="0.25">
      <c r="I15973" s="199"/>
      <c r="J15973" s="199"/>
    </row>
    <row r="15974" spans="9:10" x14ac:dyDescent="0.25">
      <c r="I15974" s="199"/>
      <c r="J15974" s="199"/>
    </row>
    <row r="15975" spans="9:10" x14ac:dyDescent="0.25">
      <c r="I15975" s="199"/>
      <c r="J15975" s="199"/>
    </row>
    <row r="15976" spans="9:10" x14ac:dyDescent="0.25">
      <c r="I15976" s="199"/>
      <c r="J15976" s="199"/>
    </row>
    <row r="15977" spans="9:10" x14ac:dyDescent="0.25">
      <c r="I15977" s="199"/>
      <c r="J15977" s="199"/>
    </row>
    <row r="15978" spans="9:10" x14ac:dyDescent="0.25">
      <c r="I15978" s="199"/>
      <c r="J15978" s="199"/>
    </row>
    <row r="15979" spans="9:10" x14ac:dyDescent="0.25">
      <c r="I15979" s="199"/>
      <c r="J15979" s="199"/>
    </row>
    <row r="15980" spans="9:10" x14ac:dyDescent="0.25">
      <c r="I15980" s="199"/>
      <c r="J15980" s="199"/>
    </row>
    <row r="15981" spans="9:10" x14ac:dyDescent="0.25">
      <c r="I15981" s="199"/>
      <c r="J15981" s="199"/>
    </row>
    <row r="15982" spans="9:10" x14ac:dyDescent="0.25">
      <c r="I15982" s="199"/>
      <c r="J15982" s="199"/>
    </row>
    <row r="15983" spans="9:10" x14ac:dyDescent="0.25">
      <c r="I15983" s="199"/>
      <c r="J15983" s="199"/>
    </row>
    <row r="15984" spans="9:10" x14ac:dyDescent="0.25">
      <c r="I15984" s="199"/>
      <c r="J15984" s="199"/>
    </row>
    <row r="15985" spans="9:10" x14ac:dyDescent="0.25">
      <c r="I15985" s="199"/>
      <c r="J15985" s="199"/>
    </row>
    <row r="15986" spans="9:10" x14ac:dyDescent="0.25">
      <c r="I15986" s="199"/>
      <c r="J15986" s="199"/>
    </row>
    <row r="15987" spans="9:10" x14ac:dyDescent="0.25">
      <c r="I15987" s="199"/>
      <c r="J15987" s="199"/>
    </row>
    <row r="15988" spans="9:10" x14ac:dyDescent="0.25">
      <c r="I15988" s="199"/>
      <c r="J15988" s="199"/>
    </row>
    <row r="15989" spans="9:10" x14ac:dyDescent="0.25">
      <c r="I15989" s="199"/>
      <c r="J15989" s="199"/>
    </row>
    <row r="15990" spans="9:10" x14ac:dyDescent="0.25">
      <c r="I15990" s="199"/>
      <c r="J15990" s="199"/>
    </row>
    <row r="15991" spans="9:10" x14ac:dyDescent="0.25">
      <c r="I15991" s="199"/>
      <c r="J15991" s="199"/>
    </row>
    <row r="15992" spans="9:10" x14ac:dyDescent="0.25">
      <c r="I15992" s="199"/>
      <c r="J15992" s="199"/>
    </row>
    <row r="15993" spans="9:10" x14ac:dyDescent="0.25">
      <c r="I15993" s="199"/>
      <c r="J15993" s="199"/>
    </row>
    <row r="15994" spans="9:10" x14ac:dyDescent="0.25">
      <c r="I15994" s="199"/>
      <c r="J15994" s="199"/>
    </row>
    <row r="15995" spans="9:10" x14ac:dyDescent="0.25">
      <c r="I15995" s="199"/>
      <c r="J15995" s="199"/>
    </row>
    <row r="15996" spans="9:10" x14ac:dyDescent="0.25">
      <c r="I15996" s="199"/>
      <c r="J15996" s="199"/>
    </row>
    <row r="15997" spans="9:10" x14ac:dyDescent="0.25">
      <c r="I15997" s="199"/>
      <c r="J15997" s="199"/>
    </row>
    <row r="15998" spans="9:10" x14ac:dyDescent="0.25">
      <c r="I15998" s="199"/>
      <c r="J15998" s="199"/>
    </row>
    <row r="15999" spans="9:10" x14ac:dyDescent="0.25">
      <c r="I15999" s="199"/>
      <c r="J15999" s="199"/>
    </row>
    <row r="16000" spans="9:10" x14ac:dyDescent="0.25">
      <c r="I16000" s="199"/>
      <c r="J16000" s="199"/>
    </row>
    <row r="16001" spans="9:10" x14ac:dyDescent="0.25">
      <c r="I16001" s="199"/>
      <c r="J16001" s="199"/>
    </row>
    <row r="16002" spans="9:10" x14ac:dyDescent="0.25">
      <c r="I16002" s="199"/>
      <c r="J16002" s="199"/>
    </row>
    <row r="16003" spans="9:10" x14ac:dyDescent="0.25">
      <c r="I16003" s="199"/>
      <c r="J16003" s="199"/>
    </row>
    <row r="16004" spans="9:10" x14ac:dyDescent="0.25">
      <c r="I16004" s="199"/>
      <c r="J16004" s="199"/>
    </row>
    <row r="16005" spans="9:10" x14ac:dyDescent="0.25">
      <c r="I16005" s="199"/>
      <c r="J16005" s="199"/>
    </row>
    <row r="16006" spans="9:10" x14ac:dyDescent="0.25">
      <c r="I16006" s="199"/>
      <c r="J16006" s="199"/>
    </row>
    <row r="16007" spans="9:10" x14ac:dyDescent="0.25">
      <c r="I16007" s="199"/>
      <c r="J16007" s="199"/>
    </row>
    <row r="16008" spans="9:10" x14ac:dyDescent="0.25">
      <c r="I16008" s="199"/>
      <c r="J16008" s="199"/>
    </row>
    <row r="16009" spans="9:10" x14ac:dyDescent="0.25">
      <c r="I16009" s="199"/>
      <c r="J16009" s="199"/>
    </row>
    <row r="16010" spans="9:10" x14ac:dyDescent="0.25">
      <c r="I16010" s="199"/>
      <c r="J16010" s="199"/>
    </row>
    <row r="16011" spans="9:10" x14ac:dyDescent="0.25">
      <c r="I16011" s="199"/>
      <c r="J16011" s="199"/>
    </row>
    <row r="16012" spans="9:10" x14ac:dyDescent="0.25">
      <c r="I16012" s="199"/>
      <c r="J16012" s="199"/>
    </row>
    <row r="16013" spans="9:10" x14ac:dyDescent="0.25">
      <c r="I16013" s="199"/>
      <c r="J16013" s="199"/>
    </row>
    <row r="16014" spans="9:10" x14ac:dyDescent="0.25">
      <c r="I16014" s="199"/>
      <c r="J16014" s="199"/>
    </row>
    <row r="16015" spans="9:10" x14ac:dyDescent="0.25">
      <c r="I16015" s="199"/>
      <c r="J16015" s="199"/>
    </row>
    <row r="16016" spans="9:10" x14ac:dyDescent="0.25">
      <c r="I16016" s="199"/>
      <c r="J16016" s="199"/>
    </row>
    <row r="16017" spans="9:10" x14ac:dyDescent="0.25">
      <c r="I16017" s="199"/>
      <c r="J16017" s="199"/>
    </row>
    <row r="16018" spans="9:10" x14ac:dyDescent="0.25">
      <c r="I16018" s="199"/>
      <c r="J16018" s="199"/>
    </row>
    <row r="16019" spans="9:10" x14ac:dyDescent="0.25">
      <c r="I16019" s="199"/>
      <c r="J16019" s="199"/>
    </row>
    <row r="16020" spans="9:10" x14ac:dyDescent="0.25">
      <c r="I16020" s="199"/>
      <c r="J16020" s="199"/>
    </row>
    <row r="16021" spans="9:10" x14ac:dyDescent="0.25">
      <c r="I16021" s="199"/>
      <c r="J16021" s="199"/>
    </row>
    <row r="16022" spans="9:10" x14ac:dyDescent="0.25">
      <c r="I16022" s="199"/>
      <c r="J16022" s="199"/>
    </row>
    <row r="16023" spans="9:10" x14ac:dyDescent="0.25">
      <c r="I16023" s="199"/>
      <c r="J16023" s="199"/>
    </row>
    <row r="16024" spans="9:10" x14ac:dyDescent="0.25">
      <c r="I16024" s="199"/>
      <c r="J16024" s="199"/>
    </row>
    <row r="16025" spans="9:10" x14ac:dyDescent="0.25">
      <c r="I16025" s="199"/>
      <c r="J16025" s="199"/>
    </row>
    <row r="16026" spans="9:10" x14ac:dyDescent="0.25">
      <c r="I16026" s="199"/>
      <c r="J16026" s="199"/>
    </row>
    <row r="16027" spans="9:10" x14ac:dyDescent="0.25">
      <c r="I16027" s="199"/>
      <c r="J16027" s="199"/>
    </row>
    <row r="16028" spans="9:10" x14ac:dyDescent="0.25">
      <c r="I16028" s="199"/>
      <c r="J16028" s="199"/>
    </row>
    <row r="16029" spans="9:10" x14ac:dyDescent="0.25">
      <c r="I16029" s="199"/>
      <c r="J16029" s="199"/>
    </row>
    <row r="16030" spans="9:10" x14ac:dyDescent="0.25">
      <c r="I16030" s="199"/>
      <c r="J16030" s="199"/>
    </row>
    <row r="16031" spans="9:10" x14ac:dyDescent="0.25">
      <c r="I16031" s="199"/>
      <c r="J16031" s="199"/>
    </row>
    <row r="16032" spans="9:10" x14ac:dyDescent="0.25">
      <c r="I16032" s="199"/>
      <c r="J16032" s="199"/>
    </row>
    <row r="16033" spans="9:10" x14ac:dyDescent="0.25">
      <c r="I16033" s="199"/>
      <c r="J16033" s="199"/>
    </row>
    <row r="16034" spans="9:10" x14ac:dyDescent="0.25">
      <c r="I16034" s="199"/>
      <c r="J16034" s="199"/>
    </row>
    <row r="16035" spans="9:10" x14ac:dyDescent="0.25">
      <c r="I16035" s="199"/>
      <c r="J16035" s="199"/>
    </row>
    <row r="16036" spans="9:10" x14ac:dyDescent="0.25">
      <c r="I16036" s="199"/>
      <c r="J16036" s="199"/>
    </row>
    <row r="16037" spans="9:10" x14ac:dyDescent="0.25">
      <c r="I16037" s="199"/>
      <c r="J16037" s="199"/>
    </row>
    <row r="16038" spans="9:10" x14ac:dyDescent="0.25">
      <c r="I16038" s="199"/>
      <c r="J16038" s="199"/>
    </row>
    <row r="16039" spans="9:10" x14ac:dyDescent="0.25">
      <c r="I16039" s="199"/>
      <c r="J16039" s="199"/>
    </row>
    <row r="16040" spans="9:10" x14ac:dyDescent="0.25">
      <c r="I16040" s="199"/>
      <c r="J16040" s="199"/>
    </row>
    <row r="16041" spans="9:10" x14ac:dyDescent="0.25">
      <c r="I16041" s="199"/>
      <c r="J16041" s="199"/>
    </row>
    <row r="16042" spans="9:10" x14ac:dyDescent="0.25">
      <c r="I16042" s="199"/>
      <c r="J16042" s="199"/>
    </row>
    <row r="16043" spans="9:10" x14ac:dyDescent="0.25">
      <c r="I16043" s="199"/>
      <c r="J16043" s="199"/>
    </row>
    <row r="16044" spans="9:10" x14ac:dyDescent="0.25">
      <c r="I16044" s="199"/>
      <c r="J16044" s="199"/>
    </row>
    <row r="16045" spans="9:10" x14ac:dyDescent="0.25">
      <c r="I16045" s="199"/>
      <c r="J16045" s="199"/>
    </row>
    <row r="16046" spans="9:10" x14ac:dyDescent="0.25">
      <c r="I16046" s="199"/>
      <c r="J16046" s="199"/>
    </row>
    <row r="16047" spans="9:10" x14ac:dyDescent="0.25">
      <c r="I16047" s="199"/>
      <c r="J16047" s="199"/>
    </row>
    <row r="16048" spans="9:10" x14ac:dyDescent="0.25">
      <c r="I16048" s="199"/>
      <c r="J16048" s="199"/>
    </row>
    <row r="16049" spans="9:10" x14ac:dyDescent="0.25">
      <c r="I16049" s="199"/>
      <c r="J16049" s="199"/>
    </row>
    <row r="16050" spans="9:10" x14ac:dyDescent="0.25">
      <c r="I16050" s="199"/>
      <c r="J16050" s="199"/>
    </row>
    <row r="16051" spans="9:10" x14ac:dyDescent="0.25">
      <c r="I16051" s="199"/>
      <c r="J16051" s="199"/>
    </row>
    <row r="16052" spans="9:10" x14ac:dyDescent="0.25">
      <c r="I16052" s="199"/>
      <c r="J16052" s="199"/>
    </row>
    <row r="16053" spans="9:10" x14ac:dyDescent="0.25">
      <c r="I16053" s="199"/>
      <c r="J16053" s="199"/>
    </row>
    <row r="16054" spans="9:10" x14ac:dyDescent="0.25">
      <c r="I16054" s="199"/>
      <c r="J16054" s="199"/>
    </row>
    <row r="16055" spans="9:10" x14ac:dyDescent="0.25">
      <c r="I16055" s="199"/>
      <c r="J16055" s="199"/>
    </row>
    <row r="16056" spans="9:10" x14ac:dyDescent="0.25">
      <c r="I16056" s="199"/>
      <c r="J16056" s="199"/>
    </row>
    <row r="16057" spans="9:10" x14ac:dyDescent="0.25">
      <c r="I16057" s="199"/>
      <c r="J16057" s="199"/>
    </row>
    <row r="16058" spans="9:10" x14ac:dyDescent="0.25">
      <c r="I16058" s="199"/>
      <c r="J16058" s="199"/>
    </row>
    <row r="16059" spans="9:10" x14ac:dyDescent="0.25">
      <c r="I16059" s="199"/>
      <c r="J16059" s="199"/>
    </row>
    <row r="16060" spans="9:10" x14ac:dyDescent="0.25">
      <c r="I16060" s="199"/>
      <c r="J16060" s="199"/>
    </row>
    <row r="16061" spans="9:10" x14ac:dyDescent="0.25">
      <c r="I16061" s="199"/>
      <c r="J16061" s="199"/>
    </row>
    <row r="16062" spans="9:10" x14ac:dyDescent="0.25">
      <c r="I16062" s="199"/>
      <c r="J16062" s="199"/>
    </row>
    <row r="16063" spans="9:10" x14ac:dyDescent="0.25">
      <c r="I16063" s="199"/>
      <c r="J16063" s="199"/>
    </row>
    <row r="16064" spans="9:10" x14ac:dyDescent="0.25">
      <c r="I16064" s="199"/>
      <c r="J16064" s="199"/>
    </row>
    <row r="16065" spans="9:10" x14ac:dyDescent="0.25">
      <c r="I16065" s="199"/>
      <c r="J16065" s="199"/>
    </row>
    <row r="16066" spans="9:10" x14ac:dyDescent="0.25">
      <c r="I16066" s="199"/>
      <c r="J16066" s="199"/>
    </row>
    <row r="16067" spans="9:10" x14ac:dyDescent="0.25">
      <c r="I16067" s="199"/>
      <c r="J16067" s="199"/>
    </row>
    <row r="16068" spans="9:10" x14ac:dyDescent="0.25">
      <c r="I16068" s="199"/>
      <c r="J16068" s="199"/>
    </row>
    <row r="16069" spans="9:10" x14ac:dyDescent="0.25">
      <c r="I16069" s="199"/>
      <c r="J16069" s="199"/>
    </row>
    <row r="16070" spans="9:10" x14ac:dyDescent="0.25">
      <c r="I16070" s="199"/>
      <c r="J16070" s="199"/>
    </row>
    <row r="16071" spans="9:10" x14ac:dyDescent="0.25">
      <c r="I16071" s="199"/>
      <c r="J16071" s="199"/>
    </row>
    <row r="16072" spans="9:10" x14ac:dyDescent="0.25">
      <c r="I16072" s="199"/>
      <c r="J16072" s="199"/>
    </row>
    <row r="16073" spans="9:10" x14ac:dyDescent="0.25">
      <c r="I16073" s="199"/>
      <c r="J16073" s="199"/>
    </row>
    <row r="16074" spans="9:10" x14ac:dyDescent="0.25">
      <c r="I16074" s="199"/>
      <c r="J16074" s="199"/>
    </row>
    <row r="16075" spans="9:10" x14ac:dyDescent="0.25">
      <c r="I16075" s="199"/>
      <c r="J16075" s="199"/>
    </row>
    <row r="16076" spans="9:10" x14ac:dyDescent="0.25">
      <c r="I16076" s="199"/>
      <c r="J16076" s="199"/>
    </row>
    <row r="16077" spans="9:10" x14ac:dyDescent="0.25">
      <c r="I16077" s="199"/>
      <c r="J16077" s="199"/>
    </row>
    <row r="16078" spans="9:10" x14ac:dyDescent="0.25">
      <c r="I16078" s="199"/>
      <c r="J16078" s="199"/>
    </row>
    <row r="16079" spans="9:10" x14ac:dyDescent="0.25">
      <c r="I16079" s="199"/>
      <c r="J16079" s="199"/>
    </row>
    <row r="16080" spans="9:10" x14ac:dyDescent="0.25">
      <c r="I16080" s="199"/>
      <c r="J16080" s="199"/>
    </row>
    <row r="16081" spans="9:10" x14ac:dyDescent="0.25">
      <c r="I16081" s="199"/>
      <c r="J16081" s="199"/>
    </row>
    <row r="16082" spans="9:10" x14ac:dyDescent="0.25">
      <c r="I16082" s="199"/>
      <c r="J16082" s="199"/>
    </row>
    <row r="16083" spans="9:10" x14ac:dyDescent="0.25">
      <c r="I16083" s="199"/>
      <c r="J16083" s="199"/>
    </row>
    <row r="16084" spans="9:10" x14ac:dyDescent="0.25">
      <c r="I16084" s="199"/>
      <c r="J16084" s="199"/>
    </row>
    <row r="16085" spans="9:10" x14ac:dyDescent="0.25">
      <c r="I16085" s="199"/>
      <c r="J16085" s="199"/>
    </row>
    <row r="16086" spans="9:10" x14ac:dyDescent="0.25">
      <c r="I16086" s="199"/>
      <c r="J16086" s="199"/>
    </row>
    <row r="16087" spans="9:10" x14ac:dyDescent="0.25">
      <c r="I16087" s="199"/>
      <c r="J16087" s="199"/>
    </row>
    <row r="16088" spans="9:10" x14ac:dyDescent="0.25">
      <c r="I16088" s="199"/>
      <c r="J16088" s="199"/>
    </row>
    <row r="16089" spans="9:10" x14ac:dyDescent="0.25">
      <c r="I16089" s="199"/>
      <c r="J16089" s="199"/>
    </row>
    <row r="16090" spans="9:10" x14ac:dyDescent="0.25">
      <c r="I16090" s="199"/>
      <c r="J16090" s="199"/>
    </row>
    <row r="16091" spans="9:10" x14ac:dyDescent="0.25">
      <c r="I16091" s="199"/>
      <c r="J16091" s="199"/>
    </row>
    <row r="16092" spans="9:10" x14ac:dyDescent="0.25">
      <c r="I16092" s="199"/>
      <c r="J16092" s="199"/>
    </row>
    <row r="16093" spans="9:10" x14ac:dyDescent="0.25">
      <c r="I16093" s="199"/>
      <c r="J16093" s="199"/>
    </row>
    <row r="16094" spans="9:10" x14ac:dyDescent="0.25">
      <c r="I16094" s="199"/>
      <c r="J16094" s="199"/>
    </row>
    <row r="16095" spans="9:10" x14ac:dyDescent="0.25">
      <c r="I16095" s="199"/>
      <c r="J16095" s="199"/>
    </row>
    <row r="16096" spans="9:10" x14ac:dyDescent="0.25">
      <c r="I16096" s="199"/>
      <c r="J16096" s="199"/>
    </row>
    <row r="16097" spans="9:10" x14ac:dyDescent="0.25">
      <c r="I16097" s="199"/>
      <c r="J16097" s="199"/>
    </row>
    <row r="16098" spans="9:10" x14ac:dyDescent="0.25">
      <c r="I16098" s="199"/>
      <c r="J16098" s="199"/>
    </row>
    <row r="16099" spans="9:10" x14ac:dyDescent="0.25">
      <c r="I16099" s="199"/>
      <c r="J16099" s="199"/>
    </row>
    <row r="16100" spans="9:10" x14ac:dyDescent="0.25">
      <c r="I16100" s="199"/>
      <c r="J16100" s="199"/>
    </row>
    <row r="16101" spans="9:10" x14ac:dyDescent="0.25">
      <c r="I16101" s="199"/>
      <c r="J16101" s="199"/>
    </row>
    <row r="16102" spans="9:10" x14ac:dyDescent="0.25">
      <c r="I16102" s="199"/>
      <c r="J16102" s="199"/>
    </row>
    <row r="16103" spans="9:10" x14ac:dyDescent="0.25">
      <c r="I16103" s="199"/>
      <c r="J16103" s="199"/>
    </row>
    <row r="16104" spans="9:10" x14ac:dyDescent="0.25">
      <c r="I16104" s="199"/>
      <c r="J16104" s="199"/>
    </row>
    <row r="16105" spans="9:10" x14ac:dyDescent="0.25">
      <c r="I16105" s="199"/>
      <c r="J16105" s="199"/>
    </row>
    <row r="16106" spans="9:10" x14ac:dyDescent="0.25">
      <c r="I16106" s="199"/>
      <c r="J16106" s="199"/>
    </row>
    <row r="16107" spans="9:10" x14ac:dyDescent="0.25">
      <c r="I16107" s="199"/>
      <c r="J16107" s="199"/>
    </row>
    <row r="16108" spans="9:10" x14ac:dyDescent="0.25">
      <c r="I16108" s="199"/>
      <c r="J16108" s="199"/>
    </row>
    <row r="16109" spans="9:10" x14ac:dyDescent="0.25">
      <c r="I16109" s="199"/>
      <c r="J16109" s="199"/>
    </row>
    <row r="16110" spans="9:10" x14ac:dyDescent="0.25">
      <c r="I16110" s="199"/>
      <c r="J16110" s="199"/>
    </row>
    <row r="16111" spans="9:10" x14ac:dyDescent="0.25">
      <c r="I16111" s="199"/>
      <c r="J16111" s="199"/>
    </row>
    <row r="16112" spans="9:10" x14ac:dyDescent="0.25">
      <c r="I16112" s="199"/>
      <c r="J16112" s="199"/>
    </row>
    <row r="16113" spans="9:10" x14ac:dyDescent="0.25">
      <c r="I16113" s="199"/>
      <c r="J16113" s="199"/>
    </row>
    <row r="16114" spans="9:10" x14ac:dyDescent="0.25">
      <c r="I16114" s="199"/>
      <c r="J16114" s="199"/>
    </row>
    <row r="16115" spans="9:10" x14ac:dyDescent="0.25">
      <c r="I16115" s="199"/>
      <c r="J16115" s="199"/>
    </row>
    <row r="16116" spans="9:10" x14ac:dyDescent="0.25">
      <c r="I16116" s="199"/>
      <c r="J16116" s="199"/>
    </row>
    <row r="16117" spans="9:10" x14ac:dyDescent="0.25">
      <c r="I16117" s="199"/>
      <c r="J16117" s="199"/>
    </row>
    <row r="16118" spans="9:10" x14ac:dyDescent="0.25">
      <c r="I16118" s="199"/>
      <c r="J16118" s="199"/>
    </row>
    <row r="16119" spans="9:10" x14ac:dyDescent="0.25">
      <c r="I16119" s="199"/>
      <c r="J16119" s="199"/>
    </row>
    <row r="16120" spans="9:10" x14ac:dyDescent="0.25">
      <c r="I16120" s="199"/>
      <c r="J16120" s="199"/>
    </row>
    <row r="16121" spans="9:10" x14ac:dyDescent="0.25">
      <c r="I16121" s="199"/>
      <c r="J16121" s="199"/>
    </row>
    <row r="16122" spans="9:10" x14ac:dyDescent="0.25">
      <c r="I16122" s="199"/>
      <c r="J16122" s="199"/>
    </row>
    <row r="16123" spans="9:10" x14ac:dyDescent="0.25">
      <c r="I16123" s="199"/>
      <c r="J16123" s="199"/>
    </row>
    <row r="16124" spans="9:10" x14ac:dyDescent="0.25">
      <c r="I16124" s="199"/>
      <c r="J16124" s="199"/>
    </row>
    <row r="16125" spans="9:10" x14ac:dyDescent="0.25">
      <c r="I16125" s="199"/>
      <c r="J16125" s="199"/>
    </row>
    <row r="16126" spans="9:10" x14ac:dyDescent="0.25">
      <c r="I16126" s="199"/>
      <c r="J16126" s="199"/>
    </row>
    <row r="16127" spans="9:10" x14ac:dyDescent="0.25">
      <c r="I16127" s="199"/>
      <c r="J16127" s="199"/>
    </row>
    <row r="16128" spans="9:10" x14ac:dyDescent="0.25">
      <c r="I16128" s="199"/>
      <c r="J16128" s="199"/>
    </row>
    <row r="16129" spans="9:10" x14ac:dyDescent="0.25">
      <c r="I16129" s="199"/>
      <c r="J16129" s="199"/>
    </row>
    <row r="16130" spans="9:10" x14ac:dyDescent="0.25">
      <c r="I16130" s="199"/>
      <c r="J16130" s="199"/>
    </row>
    <row r="16131" spans="9:10" x14ac:dyDescent="0.25">
      <c r="I16131" s="199"/>
      <c r="J16131" s="199"/>
    </row>
    <row r="16132" spans="9:10" x14ac:dyDescent="0.25">
      <c r="I16132" s="199"/>
      <c r="J16132" s="199"/>
    </row>
    <row r="16133" spans="9:10" x14ac:dyDescent="0.25">
      <c r="I16133" s="199"/>
      <c r="J16133" s="199"/>
    </row>
    <row r="16134" spans="9:10" x14ac:dyDescent="0.25">
      <c r="I16134" s="199"/>
      <c r="J16134" s="199"/>
    </row>
    <row r="16135" spans="9:10" x14ac:dyDescent="0.25">
      <c r="I16135" s="199"/>
      <c r="J16135" s="199"/>
    </row>
    <row r="16136" spans="9:10" x14ac:dyDescent="0.25">
      <c r="I16136" s="199"/>
      <c r="J16136" s="199"/>
    </row>
    <row r="16137" spans="9:10" x14ac:dyDescent="0.25">
      <c r="I16137" s="199"/>
      <c r="J16137" s="199"/>
    </row>
    <row r="16138" spans="9:10" x14ac:dyDescent="0.25">
      <c r="I16138" s="199"/>
      <c r="J16138" s="199"/>
    </row>
    <row r="16139" spans="9:10" x14ac:dyDescent="0.25">
      <c r="I16139" s="199"/>
      <c r="J16139" s="199"/>
    </row>
    <row r="16140" spans="9:10" x14ac:dyDescent="0.25">
      <c r="I16140" s="199"/>
      <c r="J16140" s="199"/>
    </row>
    <row r="16141" spans="9:10" x14ac:dyDescent="0.25">
      <c r="I16141" s="199"/>
      <c r="J16141" s="199"/>
    </row>
    <row r="16142" spans="9:10" x14ac:dyDescent="0.25">
      <c r="I16142" s="199"/>
      <c r="J16142" s="199"/>
    </row>
    <row r="16143" spans="9:10" x14ac:dyDescent="0.25">
      <c r="I16143" s="199"/>
      <c r="J16143" s="199"/>
    </row>
    <row r="16144" spans="9:10" x14ac:dyDescent="0.25">
      <c r="I16144" s="199"/>
      <c r="J16144" s="199"/>
    </row>
    <row r="16145" spans="9:10" x14ac:dyDescent="0.25">
      <c r="I16145" s="199"/>
      <c r="J16145" s="199"/>
    </row>
    <row r="16146" spans="9:10" x14ac:dyDescent="0.25">
      <c r="I16146" s="199"/>
      <c r="J16146" s="199"/>
    </row>
    <row r="16147" spans="9:10" x14ac:dyDescent="0.25">
      <c r="I16147" s="199"/>
      <c r="J16147" s="199"/>
    </row>
    <row r="16148" spans="9:10" x14ac:dyDescent="0.25">
      <c r="I16148" s="199"/>
      <c r="J16148" s="199"/>
    </row>
    <row r="16149" spans="9:10" x14ac:dyDescent="0.25">
      <c r="I16149" s="199"/>
      <c r="J16149" s="199"/>
    </row>
    <row r="16150" spans="9:10" x14ac:dyDescent="0.25">
      <c r="I16150" s="199"/>
      <c r="J16150" s="199"/>
    </row>
    <row r="16151" spans="9:10" x14ac:dyDescent="0.25">
      <c r="I16151" s="199"/>
      <c r="J16151" s="199"/>
    </row>
    <row r="16152" spans="9:10" x14ac:dyDescent="0.25">
      <c r="I16152" s="199"/>
      <c r="J16152" s="199"/>
    </row>
    <row r="16153" spans="9:10" x14ac:dyDescent="0.25">
      <c r="I16153" s="199"/>
      <c r="J16153" s="199"/>
    </row>
    <row r="16154" spans="9:10" x14ac:dyDescent="0.25">
      <c r="I16154" s="199"/>
      <c r="J16154" s="199"/>
    </row>
    <row r="16155" spans="9:10" x14ac:dyDescent="0.25">
      <c r="I16155" s="199"/>
      <c r="J16155" s="199"/>
    </row>
    <row r="16156" spans="9:10" x14ac:dyDescent="0.25">
      <c r="I16156" s="199"/>
      <c r="J16156" s="199"/>
    </row>
    <row r="16157" spans="9:10" x14ac:dyDescent="0.25">
      <c r="I16157" s="199"/>
      <c r="J16157" s="199"/>
    </row>
    <row r="16158" spans="9:10" x14ac:dyDescent="0.25">
      <c r="I16158" s="199"/>
      <c r="J16158" s="199"/>
    </row>
    <row r="16159" spans="9:10" x14ac:dyDescent="0.25">
      <c r="I16159" s="199"/>
      <c r="J16159" s="199"/>
    </row>
    <row r="16160" spans="9:10" x14ac:dyDescent="0.25">
      <c r="I16160" s="199"/>
      <c r="J16160" s="199"/>
    </row>
    <row r="16161" spans="9:10" x14ac:dyDescent="0.25">
      <c r="I16161" s="199"/>
      <c r="J16161" s="199"/>
    </row>
    <row r="16162" spans="9:10" x14ac:dyDescent="0.25">
      <c r="I16162" s="199"/>
      <c r="J16162" s="199"/>
    </row>
    <row r="16163" spans="9:10" x14ac:dyDescent="0.25">
      <c r="I16163" s="199"/>
      <c r="J16163" s="199"/>
    </row>
    <row r="16164" spans="9:10" x14ac:dyDescent="0.25">
      <c r="I16164" s="199"/>
      <c r="J16164" s="199"/>
    </row>
    <row r="16165" spans="9:10" x14ac:dyDescent="0.25">
      <c r="I16165" s="199"/>
      <c r="J16165" s="199"/>
    </row>
    <row r="16166" spans="9:10" x14ac:dyDescent="0.25">
      <c r="I16166" s="199"/>
      <c r="J16166" s="199"/>
    </row>
    <row r="16167" spans="9:10" x14ac:dyDescent="0.25">
      <c r="I16167" s="199"/>
      <c r="J16167" s="199"/>
    </row>
    <row r="16168" spans="9:10" x14ac:dyDescent="0.25">
      <c r="I16168" s="199"/>
      <c r="J16168" s="199"/>
    </row>
    <row r="16169" spans="9:10" x14ac:dyDescent="0.25">
      <c r="I16169" s="199"/>
      <c r="J16169" s="199"/>
    </row>
    <row r="16170" spans="9:10" x14ac:dyDescent="0.25">
      <c r="I16170" s="199"/>
      <c r="J16170" s="199"/>
    </row>
    <row r="16171" spans="9:10" x14ac:dyDescent="0.25">
      <c r="I16171" s="199"/>
      <c r="J16171" s="199"/>
    </row>
    <row r="16172" spans="9:10" x14ac:dyDescent="0.25">
      <c r="I16172" s="199"/>
      <c r="J16172" s="199"/>
    </row>
    <row r="16173" spans="9:10" x14ac:dyDescent="0.25">
      <c r="I16173" s="199"/>
      <c r="J16173" s="199"/>
    </row>
    <row r="16174" spans="9:10" x14ac:dyDescent="0.25">
      <c r="I16174" s="199"/>
      <c r="J16174" s="199"/>
    </row>
    <row r="16175" spans="9:10" x14ac:dyDescent="0.25">
      <c r="I16175" s="199"/>
      <c r="J16175" s="199"/>
    </row>
    <row r="16176" spans="9:10" x14ac:dyDescent="0.25">
      <c r="I16176" s="199"/>
      <c r="J16176" s="199"/>
    </row>
    <row r="16177" spans="9:10" x14ac:dyDescent="0.25">
      <c r="I16177" s="199"/>
      <c r="J16177" s="199"/>
    </row>
    <row r="16178" spans="9:10" x14ac:dyDescent="0.25">
      <c r="I16178" s="199"/>
      <c r="J16178" s="199"/>
    </row>
    <row r="16179" spans="9:10" x14ac:dyDescent="0.25">
      <c r="I16179" s="199"/>
      <c r="J16179" s="199"/>
    </row>
    <row r="16180" spans="9:10" x14ac:dyDescent="0.25">
      <c r="I16180" s="199"/>
      <c r="J16180" s="199"/>
    </row>
    <row r="16181" spans="9:10" x14ac:dyDescent="0.25">
      <c r="I16181" s="199"/>
      <c r="J16181" s="199"/>
    </row>
    <row r="16182" spans="9:10" x14ac:dyDescent="0.25">
      <c r="I16182" s="199"/>
      <c r="J16182" s="199"/>
    </row>
    <row r="16183" spans="9:10" x14ac:dyDescent="0.25">
      <c r="I16183" s="199"/>
      <c r="J16183" s="199"/>
    </row>
    <row r="16184" spans="9:10" x14ac:dyDescent="0.25">
      <c r="I16184" s="199"/>
      <c r="J16184" s="199"/>
    </row>
    <row r="16185" spans="9:10" x14ac:dyDescent="0.25">
      <c r="I16185" s="199"/>
      <c r="J16185" s="199"/>
    </row>
    <row r="16186" spans="9:10" x14ac:dyDescent="0.25">
      <c r="I16186" s="199"/>
      <c r="J16186" s="199"/>
    </row>
    <row r="16187" spans="9:10" x14ac:dyDescent="0.25">
      <c r="I16187" s="199"/>
      <c r="J16187" s="199"/>
    </row>
    <row r="16188" spans="9:10" x14ac:dyDescent="0.25">
      <c r="I16188" s="199"/>
      <c r="J16188" s="199"/>
    </row>
    <row r="16189" spans="9:10" x14ac:dyDescent="0.25">
      <c r="I16189" s="199"/>
      <c r="J16189" s="199"/>
    </row>
    <row r="16190" spans="9:10" x14ac:dyDescent="0.25">
      <c r="I16190" s="199"/>
      <c r="J16190" s="199"/>
    </row>
    <row r="16191" spans="9:10" x14ac:dyDescent="0.25">
      <c r="I16191" s="199"/>
      <c r="J16191" s="199"/>
    </row>
    <row r="16192" spans="9:10" x14ac:dyDescent="0.25">
      <c r="I16192" s="199"/>
      <c r="J16192" s="199"/>
    </row>
    <row r="16193" spans="9:10" x14ac:dyDescent="0.25">
      <c r="I16193" s="199"/>
      <c r="J16193" s="199"/>
    </row>
    <row r="16194" spans="9:10" x14ac:dyDescent="0.25">
      <c r="I16194" s="199"/>
      <c r="J16194" s="199"/>
    </row>
    <row r="16195" spans="9:10" x14ac:dyDescent="0.25">
      <c r="I16195" s="199"/>
      <c r="J16195" s="199"/>
    </row>
    <row r="16196" spans="9:10" x14ac:dyDescent="0.25">
      <c r="I16196" s="199"/>
      <c r="J16196" s="199"/>
    </row>
    <row r="16197" spans="9:10" x14ac:dyDescent="0.25">
      <c r="I16197" s="199"/>
      <c r="J16197" s="199"/>
    </row>
    <row r="16198" spans="9:10" x14ac:dyDescent="0.25">
      <c r="I16198" s="199"/>
      <c r="J16198" s="199"/>
    </row>
    <row r="16199" spans="9:10" x14ac:dyDescent="0.25">
      <c r="I16199" s="199"/>
      <c r="J16199" s="199"/>
    </row>
    <row r="16200" spans="9:10" x14ac:dyDescent="0.25">
      <c r="I16200" s="199"/>
      <c r="J16200" s="199"/>
    </row>
    <row r="16201" spans="9:10" x14ac:dyDescent="0.25">
      <c r="I16201" s="199"/>
      <c r="J16201" s="199"/>
    </row>
    <row r="16202" spans="9:10" x14ac:dyDescent="0.25">
      <c r="I16202" s="199"/>
      <c r="J16202" s="199"/>
    </row>
    <row r="16203" spans="9:10" x14ac:dyDescent="0.25">
      <c r="I16203" s="199"/>
      <c r="J16203" s="199"/>
    </row>
    <row r="16204" spans="9:10" x14ac:dyDescent="0.25">
      <c r="I16204" s="199"/>
      <c r="J16204" s="199"/>
    </row>
    <row r="16205" spans="9:10" x14ac:dyDescent="0.25">
      <c r="I16205" s="199"/>
      <c r="J16205" s="199"/>
    </row>
    <row r="16206" spans="9:10" x14ac:dyDescent="0.25">
      <c r="I16206" s="199"/>
      <c r="J16206" s="199"/>
    </row>
    <row r="16207" spans="9:10" x14ac:dyDescent="0.25">
      <c r="I16207" s="199"/>
      <c r="J16207" s="199"/>
    </row>
    <row r="16208" spans="9:10" x14ac:dyDescent="0.25">
      <c r="I16208" s="199"/>
      <c r="J16208" s="199"/>
    </row>
    <row r="16209" spans="9:10" x14ac:dyDescent="0.25">
      <c r="I16209" s="199"/>
      <c r="J16209" s="199"/>
    </row>
    <row r="16210" spans="9:10" x14ac:dyDescent="0.25">
      <c r="I16210" s="199"/>
      <c r="J16210" s="199"/>
    </row>
    <row r="16211" spans="9:10" x14ac:dyDescent="0.25">
      <c r="I16211" s="199"/>
      <c r="J16211" s="199"/>
    </row>
    <row r="16212" spans="9:10" x14ac:dyDescent="0.25">
      <c r="I16212" s="199"/>
      <c r="J16212" s="199"/>
    </row>
    <row r="16213" spans="9:10" x14ac:dyDescent="0.25">
      <c r="I16213" s="199"/>
      <c r="J16213" s="199"/>
    </row>
    <row r="16214" spans="9:10" x14ac:dyDescent="0.25">
      <c r="I16214" s="199"/>
      <c r="J16214" s="199"/>
    </row>
    <row r="16215" spans="9:10" x14ac:dyDescent="0.25">
      <c r="I16215" s="199"/>
      <c r="J16215" s="199"/>
    </row>
    <row r="16216" spans="9:10" x14ac:dyDescent="0.25">
      <c r="I16216" s="199"/>
      <c r="J16216" s="199"/>
    </row>
    <row r="16217" spans="9:10" x14ac:dyDescent="0.25">
      <c r="I16217" s="199"/>
      <c r="J16217" s="199"/>
    </row>
    <row r="16218" spans="9:10" x14ac:dyDescent="0.25">
      <c r="I16218" s="199"/>
      <c r="J16218" s="199"/>
    </row>
    <row r="16219" spans="9:10" x14ac:dyDescent="0.25">
      <c r="I16219" s="199"/>
      <c r="J16219" s="199"/>
    </row>
    <row r="16220" spans="9:10" x14ac:dyDescent="0.25">
      <c r="I16220" s="199"/>
      <c r="J16220" s="199"/>
    </row>
    <row r="16221" spans="9:10" x14ac:dyDescent="0.25">
      <c r="I16221" s="199"/>
      <c r="J16221" s="199"/>
    </row>
    <row r="16222" spans="9:10" x14ac:dyDescent="0.25">
      <c r="I16222" s="199"/>
      <c r="J16222" s="199"/>
    </row>
    <row r="16223" spans="9:10" x14ac:dyDescent="0.25">
      <c r="I16223" s="199"/>
      <c r="J16223" s="199"/>
    </row>
    <row r="16224" spans="9:10" x14ac:dyDescent="0.25">
      <c r="I16224" s="199"/>
      <c r="J16224" s="199"/>
    </row>
    <row r="16225" spans="9:10" x14ac:dyDescent="0.25">
      <c r="I16225" s="199"/>
      <c r="J16225" s="199"/>
    </row>
    <row r="16226" spans="9:10" x14ac:dyDescent="0.25">
      <c r="I16226" s="199"/>
      <c r="J16226" s="199"/>
    </row>
    <row r="16227" spans="9:10" x14ac:dyDescent="0.25">
      <c r="I16227" s="199"/>
      <c r="J16227" s="199"/>
    </row>
    <row r="16228" spans="9:10" x14ac:dyDescent="0.25">
      <c r="I16228" s="199"/>
      <c r="J16228" s="199"/>
    </row>
    <row r="16229" spans="9:10" x14ac:dyDescent="0.25">
      <c r="I16229" s="199"/>
      <c r="J16229" s="199"/>
    </row>
    <row r="16230" spans="9:10" x14ac:dyDescent="0.25">
      <c r="I16230" s="199"/>
      <c r="J16230" s="199"/>
    </row>
    <row r="16231" spans="9:10" x14ac:dyDescent="0.25">
      <c r="I16231" s="199"/>
      <c r="J16231" s="199"/>
    </row>
    <row r="16232" spans="9:10" x14ac:dyDescent="0.25">
      <c r="I16232" s="199"/>
      <c r="J16232" s="199"/>
    </row>
    <row r="16233" spans="9:10" x14ac:dyDescent="0.25">
      <c r="I16233" s="199"/>
      <c r="J16233" s="199"/>
    </row>
    <row r="16234" spans="9:10" x14ac:dyDescent="0.25">
      <c r="I16234" s="199"/>
      <c r="J16234" s="199"/>
    </row>
    <row r="16235" spans="9:10" x14ac:dyDescent="0.25">
      <c r="I16235" s="199"/>
      <c r="J16235" s="199"/>
    </row>
    <row r="16236" spans="9:10" x14ac:dyDescent="0.25">
      <c r="I16236" s="199"/>
      <c r="J16236" s="199"/>
    </row>
    <row r="16237" spans="9:10" x14ac:dyDescent="0.25">
      <c r="I16237" s="199"/>
      <c r="J16237" s="199"/>
    </row>
    <row r="16238" spans="9:10" x14ac:dyDescent="0.25">
      <c r="I16238" s="199"/>
      <c r="J16238" s="199"/>
    </row>
    <row r="16239" spans="9:10" x14ac:dyDescent="0.25">
      <c r="I16239" s="199"/>
      <c r="J16239" s="199"/>
    </row>
    <row r="16240" spans="9:10" x14ac:dyDescent="0.25">
      <c r="I16240" s="199"/>
      <c r="J16240" s="199"/>
    </row>
    <row r="16241" spans="9:10" x14ac:dyDescent="0.25">
      <c r="I16241" s="199"/>
      <c r="J16241" s="199"/>
    </row>
    <row r="16242" spans="9:10" x14ac:dyDescent="0.25">
      <c r="I16242" s="199"/>
      <c r="J16242" s="199"/>
    </row>
    <row r="16243" spans="9:10" x14ac:dyDescent="0.25">
      <c r="I16243" s="199"/>
      <c r="J16243" s="199"/>
    </row>
    <row r="16244" spans="9:10" x14ac:dyDescent="0.25">
      <c r="I16244" s="199"/>
      <c r="J16244" s="199"/>
    </row>
    <row r="16245" spans="9:10" x14ac:dyDescent="0.25">
      <c r="I16245" s="199"/>
      <c r="J16245" s="199"/>
    </row>
    <row r="16246" spans="9:10" x14ac:dyDescent="0.25">
      <c r="I16246" s="199"/>
      <c r="J16246" s="199"/>
    </row>
    <row r="16247" spans="9:10" x14ac:dyDescent="0.25">
      <c r="I16247" s="199"/>
      <c r="J16247" s="199"/>
    </row>
    <row r="16248" spans="9:10" x14ac:dyDescent="0.25">
      <c r="I16248" s="199"/>
      <c r="J16248" s="199"/>
    </row>
    <row r="16249" spans="9:10" x14ac:dyDescent="0.25">
      <c r="I16249" s="199"/>
      <c r="J16249" s="199"/>
    </row>
    <row r="16250" spans="9:10" x14ac:dyDescent="0.25">
      <c r="I16250" s="199"/>
      <c r="J16250" s="199"/>
    </row>
    <row r="16251" spans="9:10" x14ac:dyDescent="0.25">
      <c r="I16251" s="199"/>
      <c r="J16251" s="199"/>
    </row>
    <row r="16252" spans="9:10" x14ac:dyDescent="0.25">
      <c r="I16252" s="199"/>
      <c r="J16252" s="199"/>
    </row>
    <row r="16253" spans="9:10" x14ac:dyDescent="0.25">
      <c r="I16253" s="199"/>
      <c r="J16253" s="199"/>
    </row>
    <row r="16254" spans="9:10" x14ac:dyDescent="0.25">
      <c r="I16254" s="199"/>
      <c r="J16254" s="199"/>
    </row>
    <row r="16255" spans="9:10" x14ac:dyDescent="0.25">
      <c r="I16255" s="199"/>
      <c r="J16255" s="199"/>
    </row>
    <row r="16256" spans="9:10" x14ac:dyDescent="0.25">
      <c r="I16256" s="199"/>
      <c r="J16256" s="199"/>
    </row>
    <row r="16257" spans="9:10" x14ac:dyDescent="0.25">
      <c r="I16257" s="199"/>
      <c r="J16257" s="199"/>
    </row>
    <row r="16258" spans="9:10" x14ac:dyDescent="0.25">
      <c r="I16258" s="199"/>
      <c r="J16258" s="199"/>
    </row>
    <row r="16259" spans="9:10" x14ac:dyDescent="0.25">
      <c r="I16259" s="199"/>
      <c r="J16259" s="199"/>
    </row>
    <row r="16260" spans="9:10" x14ac:dyDescent="0.25">
      <c r="I16260" s="199"/>
      <c r="J16260" s="199"/>
    </row>
    <row r="16261" spans="9:10" x14ac:dyDescent="0.25">
      <c r="I16261" s="199"/>
      <c r="J16261" s="199"/>
    </row>
    <row r="16262" spans="9:10" x14ac:dyDescent="0.25">
      <c r="I16262" s="199"/>
      <c r="J16262" s="199"/>
    </row>
    <row r="16263" spans="9:10" x14ac:dyDescent="0.25">
      <c r="I16263" s="199"/>
      <c r="J16263" s="199"/>
    </row>
    <row r="16264" spans="9:10" x14ac:dyDescent="0.25">
      <c r="I16264" s="199"/>
      <c r="J16264" s="199"/>
    </row>
    <row r="16265" spans="9:10" x14ac:dyDescent="0.25">
      <c r="I16265" s="199"/>
      <c r="J16265" s="199"/>
    </row>
    <row r="16266" spans="9:10" x14ac:dyDescent="0.25">
      <c r="I16266" s="199"/>
      <c r="J16266" s="199"/>
    </row>
    <row r="16267" spans="9:10" x14ac:dyDescent="0.25">
      <c r="I16267" s="199"/>
      <c r="J16267" s="199"/>
    </row>
    <row r="16268" spans="9:10" x14ac:dyDescent="0.25">
      <c r="I16268" s="199"/>
      <c r="J16268" s="199"/>
    </row>
    <row r="16269" spans="9:10" x14ac:dyDescent="0.25">
      <c r="I16269" s="199"/>
      <c r="J16269" s="199"/>
    </row>
    <row r="16270" spans="9:10" x14ac:dyDescent="0.25">
      <c r="I16270" s="199"/>
      <c r="J16270" s="199"/>
    </row>
    <row r="16271" spans="9:10" x14ac:dyDescent="0.25">
      <c r="I16271" s="199"/>
      <c r="J16271" s="199"/>
    </row>
    <row r="16272" spans="9:10" x14ac:dyDescent="0.25">
      <c r="I16272" s="199"/>
      <c r="J16272" s="199"/>
    </row>
    <row r="16273" spans="9:10" x14ac:dyDescent="0.25">
      <c r="I16273" s="199"/>
      <c r="J16273" s="199"/>
    </row>
    <row r="16274" spans="9:10" x14ac:dyDescent="0.25">
      <c r="I16274" s="199"/>
      <c r="J16274" s="199"/>
    </row>
    <row r="16275" spans="9:10" x14ac:dyDescent="0.25">
      <c r="I16275" s="199"/>
      <c r="J16275" s="199"/>
    </row>
    <row r="16276" spans="9:10" x14ac:dyDescent="0.25">
      <c r="I16276" s="199"/>
      <c r="J16276" s="199"/>
    </row>
    <row r="16277" spans="9:10" x14ac:dyDescent="0.25">
      <c r="I16277" s="199"/>
      <c r="J16277" s="199"/>
    </row>
    <row r="16278" spans="9:10" x14ac:dyDescent="0.25">
      <c r="I16278" s="199"/>
      <c r="J16278" s="199"/>
    </row>
    <row r="16279" spans="9:10" x14ac:dyDescent="0.25">
      <c r="I16279" s="199"/>
      <c r="J16279" s="199"/>
    </row>
    <row r="16280" spans="9:10" x14ac:dyDescent="0.25">
      <c r="I16280" s="199"/>
      <c r="J16280" s="199"/>
    </row>
    <row r="16281" spans="9:10" x14ac:dyDescent="0.25">
      <c r="I16281" s="199"/>
      <c r="J16281" s="199"/>
    </row>
    <row r="16282" spans="9:10" x14ac:dyDescent="0.25">
      <c r="I16282" s="199"/>
      <c r="J16282" s="199"/>
    </row>
    <row r="16283" spans="9:10" x14ac:dyDescent="0.25">
      <c r="I16283" s="199"/>
      <c r="J16283" s="199"/>
    </row>
    <row r="16284" spans="9:10" x14ac:dyDescent="0.25">
      <c r="I16284" s="199"/>
      <c r="J16284" s="199"/>
    </row>
    <row r="16285" spans="9:10" x14ac:dyDescent="0.25">
      <c r="I16285" s="199"/>
      <c r="J16285" s="199"/>
    </row>
    <row r="16286" spans="9:10" x14ac:dyDescent="0.25">
      <c r="I16286" s="199"/>
      <c r="J16286" s="199"/>
    </row>
    <row r="16287" spans="9:10" x14ac:dyDescent="0.25">
      <c r="I16287" s="199"/>
      <c r="J16287" s="199"/>
    </row>
    <row r="16288" spans="9:10" x14ac:dyDescent="0.25">
      <c r="I16288" s="199"/>
      <c r="J16288" s="199"/>
    </row>
    <row r="16289" spans="9:10" x14ac:dyDescent="0.25">
      <c r="I16289" s="199"/>
      <c r="J16289" s="199"/>
    </row>
    <row r="16290" spans="9:10" x14ac:dyDescent="0.25">
      <c r="I16290" s="199"/>
      <c r="J16290" s="199"/>
    </row>
    <row r="16291" spans="9:10" x14ac:dyDescent="0.25">
      <c r="I16291" s="199"/>
      <c r="J16291" s="199"/>
    </row>
    <row r="16292" spans="9:10" x14ac:dyDescent="0.25">
      <c r="I16292" s="199"/>
      <c r="J16292" s="199"/>
    </row>
    <row r="16293" spans="9:10" x14ac:dyDescent="0.25">
      <c r="I16293" s="199"/>
      <c r="J16293" s="199"/>
    </row>
    <row r="16294" spans="9:10" x14ac:dyDescent="0.25">
      <c r="I16294" s="199"/>
      <c r="J16294" s="199"/>
    </row>
    <row r="16295" spans="9:10" x14ac:dyDescent="0.25">
      <c r="I16295" s="199"/>
      <c r="J16295" s="199"/>
    </row>
    <row r="16296" spans="9:10" x14ac:dyDescent="0.25">
      <c r="I16296" s="199"/>
      <c r="J16296" s="199"/>
    </row>
    <row r="16297" spans="9:10" x14ac:dyDescent="0.25">
      <c r="I16297" s="199"/>
      <c r="J16297" s="199"/>
    </row>
    <row r="16298" spans="9:10" x14ac:dyDescent="0.25">
      <c r="I16298" s="199"/>
      <c r="J16298" s="199"/>
    </row>
    <row r="16299" spans="9:10" x14ac:dyDescent="0.25">
      <c r="I16299" s="199"/>
      <c r="J16299" s="199"/>
    </row>
    <row r="16300" spans="9:10" x14ac:dyDescent="0.25">
      <c r="I16300" s="199"/>
      <c r="J16300" s="199"/>
    </row>
    <row r="16301" spans="9:10" x14ac:dyDescent="0.25">
      <c r="I16301" s="199"/>
      <c r="J16301" s="199"/>
    </row>
    <row r="16302" spans="9:10" x14ac:dyDescent="0.25">
      <c r="I16302" s="199"/>
      <c r="J16302" s="199"/>
    </row>
    <row r="16303" spans="9:10" x14ac:dyDescent="0.25">
      <c r="I16303" s="199"/>
      <c r="J16303" s="199"/>
    </row>
    <row r="16304" spans="9:10" x14ac:dyDescent="0.25">
      <c r="I16304" s="199"/>
      <c r="J16304" s="199"/>
    </row>
    <row r="16305" spans="9:10" x14ac:dyDescent="0.25">
      <c r="I16305" s="199"/>
      <c r="J16305" s="199"/>
    </row>
    <row r="16306" spans="9:10" x14ac:dyDescent="0.25">
      <c r="I16306" s="199"/>
      <c r="J16306" s="199"/>
    </row>
    <row r="16307" spans="9:10" x14ac:dyDescent="0.25">
      <c r="I16307" s="199"/>
      <c r="J16307" s="199"/>
    </row>
    <row r="16308" spans="9:10" x14ac:dyDescent="0.25">
      <c r="I16308" s="199"/>
      <c r="J16308" s="199"/>
    </row>
    <row r="16309" spans="9:10" x14ac:dyDescent="0.25">
      <c r="I16309" s="199"/>
      <c r="J16309" s="199"/>
    </row>
    <row r="16310" spans="9:10" x14ac:dyDescent="0.25">
      <c r="I16310" s="199"/>
      <c r="J16310" s="199"/>
    </row>
    <row r="16311" spans="9:10" x14ac:dyDescent="0.25">
      <c r="I16311" s="199"/>
      <c r="J16311" s="199"/>
    </row>
    <row r="16312" spans="9:10" x14ac:dyDescent="0.25">
      <c r="I16312" s="199"/>
      <c r="J16312" s="199"/>
    </row>
    <row r="16313" spans="9:10" x14ac:dyDescent="0.25">
      <c r="I16313" s="199"/>
      <c r="J16313" s="199"/>
    </row>
    <row r="16314" spans="9:10" x14ac:dyDescent="0.25">
      <c r="I16314" s="199"/>
      <c r="J16314" s="199"/>
    </row>
    <row r="16315" spans="9:10" x14ac:dyDescent="0.25">
      <c r="I16315" s="199"/>
      <c r="J16315" s="199"/>
    </row>
    <row r="16316" spans="9:10" x14ac:dyDescent="0.25">
      <c r="I16316" s="199"/>
      <c r="J16316" s="199"/>
    </row>
    <row r="16317" spans="9:10" x14ac:dyDescent="0.25">
      <c r="I16317" s="199"/>
      <c r="J16317" s="199"/>
    </row>
    <row r="16318" spans="9:10" x14ac:dyDescent="0.25">
      <c r="I16318" s="199"/>
      <c r="J16318" s="199"/>
    </row>
    <row r="16319" spans="9:10" x14ac:dyDescent="0.25">
      <c r="I16319" s="199"/>
      <c r="J16319" s="199"/>
    </row>
    <row r="16320" spans="9:10" x14ac:dyDescent="0.25">
      <c r="I16320" s="199"/>
      <c r="J16320" s="199"/>
    </row>
    <row r="16321" spans="9:10" x14ac:dyDescent="0.25">
      <c r="I16321" s="199"/>
      <c r="J16321" s="199"/>
    </row>
    <row r="16322" spans="9:10" x14ac:dyDescent="0.25">
      <c r="I16322" s="199"/>
      <c r="J16322" s="199"/>
    </row>
    <row r="16323" spans="9:10" x14ac:dyDescent="0.25">
      <c r="I16323" s="199"/>
      <c r="J16323" s="199"/>
    </row>
    <row r="16324" spans="9:10" x14ac:dyDescent="0.25">
      <c r="I16324" s="199"/>
      <c r="J16324" s="199"/>
    </row>
    <row r="16325" spans="9:10" x14ac:dyDescent="0.25">
      <c r="I16325" s="199"/>
      <c r="J16325" s="199"/>
    </row>
    <row r="16326" spans="9:10" x14ac:dyDescent="0.25">
      <c r="I16326" s="199"/>
      <c r="J16326" s="199"/>
    </row>
    <row r="16327" spans="9:10" x14ac:dyDescent="0.25">
      <c r="I16327" s="199"/>
      <c r="J16327" s="199"/>
    </row>
    <row r="16328" spans="9:10" x14ac:dyDescent="0.25">
      <c r="I16328" s="199"/>
      <c r="J16328" s="199"/>
    </row>
    <row r="16329" spans="9:10" x14ac:dyDescent="0.25">
      <c r="I16329" s="199"/>
      <c r="J16329" s="199"/>
    </row>
    <row r="16330" spans="9:10" x14ac:dyDescent="0.25">
      <c r="I16330" s="199"/>
      <c r="J16330" s="199"/>
    </row>
    <row r="16331" spans="9:10" x14ac:dyDescent="0.25">
      <c r="I16331" s="199"/>
      <c r="J16331" s="199"/>
    </row>
    <row r="16332" spans="9:10" x14ac:dyDescent="0.25">
      <c r="I16332" s="199"/>
      <c r="J16332" s="199"/>
    </row>
    <row r="16333" spans="9:10" x14ac:dyDescent="0.25">
      <c r="I16333" s="199"/>
      <c r="J16333" s="199"/>
    </row>
    <row r="16334" spans="9:10" x14ac:dyDescent="0.25">
      <c r="I16334" s="199"/>
      <c r="J16334" s="199"/>
    </row>
    <row r="16335" spans="9:10" x14ac:dyDescent="0.25">
      <c r="I16335" s="199"/>
      <c r="J16335" s="199"/>
    </row>
    <row r="16336" spans="9:10" x14ac:dyDescent="0.25">
      <c r="I16336" s="199"/>
      <c r="J16336" s="199"/>
    </row>
    <row r="16337" spans="9:10" x14ac:dyDescent="0.25">
      <c r="I16337" s="199"/>
      <c r="J16337" s="199"/>
    </row>
    <row r="16338" spans="9:10" x14ac:dyDescent="0.25">
      <c r="I16338" s="199"/>
      <c r="J16338" s="199"/>
    </row>
    <row r="16339" spans="9:10" x14ac:dyDescent="0.25">
      <c r="I16339" s="199"/>
      <c r="J16339" s="199"/>
    </row>
    <row r="16340" spans="9:10" x14ac:dyDescent="0.25">
      <c r="I16340" s="199"/>
      <c r="J16340" s="199"/>
    </row>
    <row r="16341" spans="9:10" x14ac:dyDescent="0.25">
      <c r="I16341" s="199"/>
      <c r="J16341" s="199"/>
    </row>
    <row r="16342" spans="9:10" x14ac:dyDescent="0.25">
      <c r="I16342" s="199"/>
      <c r="J16342" s="199"/>
    </row>
    <row r="16343" spans="9:10" x14ac:dyDescent="0.25">
      <c r="I16343" s="199"/>
      <c r="J16343" s="199"/>
    </row>
    <row r="16344" spans="9:10" x14ac:dyDescent="0.25">
      <c r="I16344" s="199"/>
      <c r="J16344" s="199"/>
    </row>
    <row r="16345" spans="9:10" x14ac:dyDescent="0.25">
      <c r="I16345" s="199"/>
      <c r="J16345" s="199"/>
    </row>
    <row r="16346" spans="9:10" x14ac:dyDescent="0.25">
      <c r="I16346" s="199"/>
      <c r="J16346" s="199"/>
    </row>
    <row r="16347" spans="9:10" x14ac:dyDescent="0.25">
      <c r="I16347" s="199"/>
      <c r="J16347" s="199"/>
    </row>
    <row r="16348" spans="9:10" x14ac:dyDescent="0.25">
      <c r="I16348" s="199"/>
      <c r="J16348" s="199"/>
    </row>
    <row r="16349" spans="9:10" x14ac:dyDescent="0.25">
      <c r="I16349" s="199"/>
      <c r="J16349" s="199"/>
    </row>
    <row r="16350" spans="9:10" x14ac:dyDescent="0.25">
      <c r="I16350" s="199"/>
      <c r="J16350" s="199"/>
    </row>
    <row r="16351" spans="9:10" x14ac:dyDescent="0.25">
      <c r="I16351" s="199"/>
      <c r="J16351" s="199"/>
    </row>
    <row r="16352" spans="9:10" x14ac:dyDescent="0.25">
      <c r="I16352" s="199"/>
      <c r="J16352" s="199"/>
    </row>
    <row r="16353" spans="9:10" x14ac:dyDescent="0.25">
      <c r="I16353" s="199"/>
      <c r="J16353" s="199"/>
    </row>
    <row r="16354" spans="9:10" x14ac:dyDescent="0.25">
      <c r="I16354" s="199"/>
      <c r="J16354" s="199"/>
    </row>
    <row r="16355" spans="9:10" x14ac:dyDescent="0.25">
      <c r="I16355" s="199"/>
      <c r="J16355" s="199"/>
    </row>
    <row r="16356" spans="9:10" x14ac:dyDescent="0.25">
      <c r="I16356" s="199"/>
      <c r="J16356" s="199"/>
    </row>
    <row r="16357" spans="9:10" x14ac:dyDescent="0.25">
      <c r="I16357" s="199"/>
      <c r="J16357" s="199"/>
    </row>
    <row r="16358" spans="9:10" x14ac:dyDescent="0.25">
      <c r="I16358" s="199"/>
      <c r="J16358" s="199"/>
    </row>
    <row r="16359" spans="9:10" x14ac:dyDescent="0.25">
      <c r="I16359" s="199"/>
      <c r="J16359" s="199"/>
    </row>
    <row r="16360" spans="9:10" x14ac:dyDescent="0.25">
      <c r="I16360" s="199"/>
      <c r="J16360" s="199"/>
    </row>
    <row r="16361" spans="9:10" x14ac:dyDescent="0.25">
      <c r="I16361" s="199"/>
      <c r="J16361" s="199"/>
    </row>
    <row r="16362" spans="9:10" x14ac:dyDescent="0.25">
      <c r="I16362" s="199"/>
      <c r="J16362" s="199"/>
    </row>
    <row r="16363" spans="9:10" x14ac:dyDescent="0.25">
      <c r="I16363" s="199"/>
      <c r="J16363" s="199"/>
    </row>
    <row r="16364" spans="9:10" x14ac:dyDescent="0.25">
      <c r="I16364" s="199"/>
      <c r="J16364" s="199"/>
    </row>
    <row r="16365" spans="9:10" x14ac:dyDescent="0.25">
      <c r="I16365" s="199"/>
      <c r="J16365" s="199"/>
    </row>
    <row r="16366" spans="9:10" x14ac:dyDescent="0.25">
      <c r="I16366" s="199"/>
      <c r="J16366" s="199"/>
    </row>
    <row r="16367" spans="9:10" x14ac:dyDescent="0.25">
      <c r="I16367" s="199"/>
      <c r="J16367" s="199"/>
    </row>
    <row r="16368" spans="9:10" x14ac:dyDescent="0.25">
      <c r="I16368" s="199"/>
      <c r="J16368" s="199"/>
    </row>
    <row r="16369" spans="9:10" x14ac:dyDescent="0.25">
      <c r="I16369" s="199"/>
      <c r="J16369" s="199"/>
    </row>
    <row r="16370" spans="9:10" x14ac:dyDescent="0.25">
      <c r="I16370" s="199"/>
      <c r="J16370" s="199"/>
    </row>
    <row r="16371" spans="9:10" x14ac:dyDescent="0.25">
      <c r="I16371" s="199"/>
      <c r="J16371" s="199"/>
    </row>
    <row r="16372" spans="9:10" x14ac:dyDescent="0.25">
      <c r="I16372" s="199"/>
      <c r="J16372" s="199"/>
    </row>
    <row r="16373" spans="9:10" x14ac:dyDescent="0.25">
      <c r="I16373" s="199"/>
      <c r="J16373" s="199"/>
    </row>
    <row r="16374" spans="9:10" x14ac:dyDescent="0.25">
      <c r="I16374" s="199"/>
      <c r="J16374" s="199"/>
    </row>
    <row r="16375" spans="9:10" x14ac:dyDescent="0.25">
      <c r="I16375" s="199"/>
      <c r="J16375" s="199"/>
    </row>
    <row r="16376" spans="9:10" x14ac:dyDescent="0.25">
      <c r="I16376" s="199"/>
      <c r="J16376" s="199"/>
    </row>
    <row r="16377" spans="9:10" x14ac:dyDescent="0.25">
      <c r="I16377" s="199"/>
      <c r="J16377" s="199"/>
    </row>
    <row r="16378" spans="9:10" x14ac:dyDescent="0.25">
      <c r="I16378" s="199"/>
      <c r="J16378" s="199"/>
    </row>
    <row r="16379" spans="9:10" x14ac:dyDescent="0.25">
      <c r="I16379" s="199"/>
      <c r="J16379" s="199"/>
    </row>
    <row r="16380" spans="9:10" x14ac:dyDescent="0.25">
      <c r="I16380" s="199"/>
      <c r="J16380" s="199"/>
    </row>
    <row r="16381" spans="9:10" x14ac:dyDescent="0.25">
      <c r="I16381" s="199"/>
      <c r="J16381" s="199"/>
    </row>
    <row r="16382" spans="9:10" x14ac:dyDescent="0.25">
      <c r="I16382" s="199"/>
      <c r="J16382" s="199"/>
    </row>
    <row r="16383" spans="9:10" x14ac:dyDescent="0.25">
      <c r="I16383" s="199"/>
      <c r="J16383" s="199"/>
    </row>
    <row r="16384" spans="9:10" x14ac:dyDescent="0.25">
      <c r="I16384" s="199"/>
      <c r="J16384" s="199"/>
    </row>
    <row r="16385" spans="9:10" x14ac:dyDescent="0.25">
      <c r="I16385" s="199"/>
      <c r="J16385" s="199"/>
    </row>
    <row r="16386" spans="9:10" x14ac:dyDescent="0.25">
      <c r="I16386" s="199"/>
      <c r="J16386" s="199"/>
    </row>
    <row r="16387" spans="9:10" x14ac:dyDescent="0.25">
      <c r="I16387" s="199"/>
      <c r="J16387" s="199"/>
    </row>
    <row r="16388" spans="9:10" x14ac:dyDescent="0.25">
      <c r="I16388" s="199"/>
      <c r="J16388" s="199"/>
    </row>
    <row r="16389" spans="9:10" x14ac:dyDescent="0.25">
      <c r="I16389" s="199"/>
      <c r="J16389" s="199"/>
    </row>
    <row r="16390" spans="9:10" x14ac:dyDescent="0.25">
      <c r="I16390" s="199"/>
      <c r="J16390" s="199"/>
    </row>
    <row r="16391" spans="9:10" x14ac:dyDescent="0.25">
      <c r="I16391" s="199"/>
      <c r="J16391" s="199"/>
    </row>
    <row r="16392" spans="9:10" x14ac:dyDescent="0.25">
      <c r="I16392" s="199"/>
      <c r="J16392" s="199"/>
    </row>
    <row r="16393" spans="9:10" x14ac:dyDescent="0.25">
      <c r="I16393" s="199"/>
      <c r="J16393" s="199"/>
    </row>
    <row r="16394" spans="9:10" x14ac:dyDescent="0.25">
      <c r="I16394" s="199"/>
      <c r="J16394" s="199"/>
    </row>
    <row r="16395" spans="9:10" x14ac:dyDescent="0.25">
      <c r="I16395" s="199"/>
      <c r="J16395" s="199"/>
    </row>
    <row r="16396" spans="9:10" x14ac:dyDescent="0.25">
      <c r="I16396" s="199"/>
      <c r="J16396" s="199"/>
    </row>
    <row r="16397" spans="9:10" x14ac:dyDescent="0.25">
      <c r="I16397" s="199"/>
      <c r="J16397" s="199"/>
    </row>
    <row r="16398" spans="9:10" x14ac:dyDescent="0.25">
      <c r="I16398" s="199"/>
      <c r="J16398" s="199"/>
    </row>
    <row r="16399" spans="9:10" x14ac:dyDescent="0.25">
      <c r="I16399" s="199"/>
      <c r="J16399" s="199"/>
    </row>
    <row r="16400" spans="9:10" x14ac:dyDescent="0.25">
      <c r="I16400" s="199"/>
      <c r="J16400" s="199"/>
    </row>
    <row r="16401" spans="9:10" x14ac:dyDescent="0.25">
      <c r="I16401" s="199"/>
      <c r="J16401" s="199"/>
    </row>
    <row r="16402" spans="9:10" x14ac:dyDescent="0.25">
      <c r="I16402" s="199"/>
      <c r="J16402" s="199"/>
    </row>
    <row r="16403" spans="9:10" x14ac:dyDescent="0.25">
      <c r="I16403" s="199"/>
      <c r="J16403" s="199"/>
    </row>
    <row r="16404" spans="9:10" x14ac:dyDescent="0.25">
      <c r="I16404" s="199"/>
      <c r="J16404" s="199"/>
    </row>
    <row r="16405" spans="9:10" x14ac:dyDescent="0.25">
      <c r="I16405" s="199"/>
      <c r="J16405" s="199"/>
    </row>
    <row r="16406" spans="9:10" x14ac:dyDescent="0.25">
      <c r="I16406" s="199"/>
      <c r="J16406" s="199"/>
    </row>
    <row r="16407" spans="9:10" x14ac:dyDescent="0.25">
      <c r="I16407" s="199"/>
      <c r="J16407" s="199"/>
    </row>
    <row r="16408" spans="9:10" x14ac:dyDescent="0.25">
      <c r="I16408" s="199"/>
      <c r="J16408" s="199"/>
    </row>
    <row r="16409" spans="9:10" x14ac:dyDescent="0.25">
      <c r="I16409" s="199"/>
      <c r="J16409" s="199"/>
    </row>
    <row r="16410" spans="9:10" x14ac:dyDescent="0.25">
      <c r="I16410" s="199"/>
      <c r="J16410" s="199"/>
    </row>
    <row r="16411" spans="9:10" x14ac:dyDescent="0.25">
      <c r="I16411" s="199"/>
      <c r="J16411" s="199"/>
    </row>
    <row r="16412" spans="9:10" x14ac:dyDescent="0.25">
      <c r="I16412" s="199"/>
      <c r="J16412" s="199"/>
    </row>
    <row r="16413" spans="9:10" x14ac:dyDescent="0.25">
      <c r="I16413" s="199"/>
      <c r="J16413" s="199"/>
    </row>
    <row r="16414" spans="9:10" x14ac:dyDescent="0.25">
      <c r="I16414" s="199"/>
      <c r="J16414" s="199"/>
    </row>
    <row r="16415" spans="9:10" x14ac:dyDescent="0.25">
      <c r="I16415" s="199"/>
      <c r="J16415" s="199"/>
    </row>
    <row r="16416" spans="9:10" x14ac:dyDescent="0.25">
      <c r="I16416" s="199"/>
      <c r="J16416" s="199"/>
    </row>
    <row r="16417" spans="9:10" x14ac:dyDescent="0.25">
      <c r="I16417" s="199"/>
      <c r="J16417" s="199"/>
    </row>
    <row r="16418" spans="9:10" x14ac:dyDescent="0.25">
      <c r="I16418" s="199"/>
      <c r="J16418" s="199"/>
    </row>
    <row r="16419" spans="9:10" x14ac:dyDescent="0.25">
      <c r="I16419" s="199"/>
      <c r="J16419" s="199"/>
    </row>
    <row r="16420" spans="9:10" x14ac:dyDescent="0.25">
      <c r="I16420" s="199"/>
      <c r="J16420" s="199"/>
    </row>
    <row r="16421" spans="9:10" x14ac:dyDescent="0.25">
      <c r="I16421" s="199"/>
      <c r="J16421" s="199"/>
    </row>
    <row r="16422" spans="9:10" x14ac:dyDescent="0.25">
      <c r="I16422" s="199"/>
      <c r="J16422" s="199"/>
    </row>
    <row r="16423" spans="9:10" x14ac:dyDescent="0.25">
      <c r="I16423" s="199"/>
      <c r="J16423" s="199"/>
    </row>
    <row r="16424" spans="9:10" x14ac:dyDescent="0.25">
      <c r="I16424" s="199"/>
      <c r="J16424" s="199"/>
    </row>
    <row r="16425" spans="9:10" x14ac:dyDescent="0.25">
      <c r="I16425" s="199"/>
      <c r="J16425" s="199"/>
    </row>
    <row r="16426" spans="9:10" x14ac:dyDescent="0.25">
      <c r="I16426" s="199"/>
      <c r="J16426" s="199"/>
    </row>
    <row r="16427" spans="9:10" x14ac:dyDescent="0.25">
      <c r="I16427" s="199"/>
      <c r="J16427" s="199"/>
    </row>
    <row r="16428" spans="9:10" x14ac:dyDescent="0.25">
      <c r="I16428" s="199"/>
      <c r="J16428" s="199"/>
    </row>
    <row r="16429" spans="9:10" x14ac:dyDescent="0.25">
      <c r="I16429" s="199"/>
      <c r="J16429" s="199"/>
    </row>
    <row r="16430" spans="9:10" x14ac:dyDescent="0.25">
      <c r="I16430" s="199"/>
      <c r="J16430" s="199"/>
    </row>
    <row r="16431" spans="9:10" x14ac:dyDescent="0.25">
      <c r="I16431" s="199"/>
      <c r="J16431" s="199"/>
    </row>
    <row r="16432" spans="9:10" x14ac:dyDescent="0.25">
      <c r="I16432" s="199"/>
      <c r="J16432" s="199"/>
    </row>
    <row r="16433" spans="9:10" x14ac:dyDescent="0.25">
      <c r="I16433" s="199"/>
      <c r="J16433" s="199"/>
    </row>
    <row r="16434" spans="9:10" x14ac:dyDescent="0.25">
      <c r="I16434" s="199"/>
      <c r="J16434" s="199"/>
    </row>
    <row r="16435" spans="9:10" x14ac:dyDescent="0.25">
      <c r="I16435" s="199"/>
      <c r="J16435" s="199"/>
    </row>
    <row r="16436" spans="9:10" x14ac:dyDescent="0.25">
      <c r="I16436" s="199"/>
      <c r="J16436" s="199"/>
    </row>
    <row r="16437" spans="9:10" x14ac:dyDescent="0.25">
      <c r="I16437" s="199"/>
      <c r="J16437" s="199"/>
    </row>
    <row r="16438" spans="9:10" x14ac:dyDescent="0.25">
      <c r="I16438" s="199"/>
      <c r="J16438" s="199"/>
    </row>
    <row r="16439" spans="9:10" x14ac:dyDescent="0.25">
      <c r="I16439" s="199"/>
      <c r="J16439" s="199"/>
    </row>
    <row r="16440" spans="9:10" x14ac:dyDescent="0.25">
      <c r="I16440" s="199"/>
      <c r="J16440" s="199"/>
    </row>
    <row r="16441" spans="9:10" x14ac:dyDescent="0.25">
      <c r="I16441" s="199"/>
      <c r="J16441" s="199"/>
    </row>
    <row r="16442" spans="9:10" x14ac:dyDescent="0.25">
      <c r="I16442" s="199"/>
      <c r="J16442" s="199"/>
    </row>
    <row r="16443" spans="9:10" x14ac:dyDescent="0.25">
      <c r="I16443" s="199"/>
      <c r="J16443" s="199"/>
    </row>
    <row r="16444" spans="9:10" x14ac:dyDescent="0.25">
      <c r="I16444" s="199"/>
      <c r="J16444" s="199"/>
    </row>
    <row r="16445" spans="9:10" x14ac:dyDescent="0.25">
      <c r="I16445" s="199"/>
      <c r="J16445" s="199"/>
    </row>
    <row r="16446" spans="9:10" x14ac:dyDescent="0.25">
      <c r="I16446" s="199"/>
      <c r="J16446" s="199"/>
    </row>
    <row r="16447" spans="9:10" x14ac:dyDescent="0.25">
      <c r="I16447" s="199"/>
      <c r="J16447" s="199"/>
    </row>
    <row r="16448" spans="9:10" x14ac:dyDescent="0.25">
      <c r="I16448" s="199"/>
      <c r="J16448" s="199"/>
    </row>
    <row r="16449" spans="9:10" x14ac:dyDescent="0.25">
      <c r="I16449" s="199"/>
      <c r="J16449" s="199"/>
    </row>
    <row r="16450" spans="9:10" x14ac:dyDescent="0.25">
      <c r="I16450" s="199"/>
      <c r="J16450" s="199"/>
    </row>
    <row r="16451" spans="9:10" x14ac:dyDescent="0.25">
      <c r="I16451" s="199"/>
      <c r="J16451" s="199"/>
    </row>
    <row r="16452" spans="9:10" x14ac:dyDescent="0.25">
      <c r="I16452" s="199"/>
      <c r="J16452" s="199"/>
    </row>
    <row r="16453" spans="9:10" x14ac:dyDescent="0.25">
      <c r="I16453" s="199"/>
      <c r="J16453" s="199"/>
    </row>
    <row r="16454" spans="9:10" x14ac:dyDescent="0.25">
      <c r="I16454" s="199"/>
      <c r="J16454" s="199"/>
    </row>
    <row r="16455" spans="9:10" x14ac:dyDescent="0.25">
      <c r="I16455" s="199"/>
      <c r="J16455" s="199"/>
    </row>
    <row r="16456" spans="9:10" x14ac:dyDescent="0.25">
      <c r="I16456" s="199"/>
      <c r="J16456" s="199"/>
    </row>
    <row r="16457" spans="9:10" x14ac:dyDescent="0.25">
      <c r="I16457" s="199"/>
      <c r="J16457" s="199"/>
    </row>
    <row r="16458" spans="9:10" x14ac:dyDescent="0.25">
      <c r="I16458" s="199"/>
      <c r="J16458" s="199"/>
    </row>
    <row r="16459" spans="9:10" x14ac:dyDescent="0.25">
      <c r="I16459" s="199"/>
      <c r="J16459" s="199"/>
    </row>
    <row r="16460" spans="9:10" x14ac:dyDescent="0.25">
      <c r="I16460" s="199"/>
      <c r="J16460" s="199"/>
    </row>
    <row r="16461" spans="9:10" x14ac:dyDescent="0.25">
      <c r="I16461" s="199"/>
      <c r="J16461" s="199"/>
    </row>
    <row r="16462" spans="9:10" x14ac:dyDescent="0.25">
      <c r="I16462" s="199"/>
      <c r="J16462" s="199"/>
    </row>
    <row r="16463" spans="9:10" x14ac:dyDescent="0.25">
      <c r="I16463" s="199"/>
      <c r="J16463" s="199"/>
    </row>
    <row r="16464" spans="9:10" x14ac:dyDescent="0.25">
      <c r="I16464" s="199"/>
      <c r="J16464" s="199"/>
    </row>
    <row r="16465" spans="9:10" x14ac:dyDescent="0.25">
      <c r="I16465" s="199"/>
      <c r="J16465" s="199"/>
    </row>
    <row r="16466" spans="9:10" x14ac:dyDescent="0.25">
      <c r="I16466" s="199"/>
      <c r="J16466" s="199"/>
    </row>
    <row r="16467" spans="9:10" x14ac:dyDescent="0.25">
      <c r="I16467" s="199"/>
      <c r="J16467" s="199"/>
    </row>
    <row r="16468" spans="9:10" x14ac:dyDescent="0.25">
      <c r="I16468" s="199"/>
      <c r="J16468" s="199"/>
    </row>
    <row r="16469" spans="9:10" x14ac:dyDescent="0.25">
      <c r="I16469" s="199"/>
      <c r="J16469" s="199"/>
    </row>
    <row r="16470" spans="9:10" x14ac:dyDescent="0.25">
      <c r="I16470" s="199"/>
      <c r="J16470" s="199"/>
    </row>
    <row r="16471" spans="9:10" x14ac:dyDescent="0.25">
      <c r="I16471" s="199"/>
      <c r="J16471" s="199"/>
    </row>
    <row r="16472" spans="9:10" x14ac:dyDescent="0.25">
      <c r="I16472" s="199"/>
      <c r="J16472" s="199"/>
    </row>
    <row r="16473" spans="9:10" x14ac:dyDescent="0.25">
      <c r="I16473" s="199"/>
      <c r="J16473" s="199"/>
    </row>
    <row r="16474" spans="9:10" x14ac:dyDescent="0.25">
      <c r="I16474" s="199"/>
      <c r="J16474" s="199"/>
    </row>
    <row r="16475" spans="9:10" x14ac:dyDescent="0.25">
      <c r="I16475" s="199"/>
      <c r="J16475" s="199"/>
    </row>
    <row r="16476" spans="9:10" x14ac:dyDescent="0.25">
      <c r="I16476" s="199"/>
      <c r="J16476" s="199"/>
    </row>
    <row r="16477" spans="9:10" x14ac:dyDescent="0.25">
      <c r="I16477" s="199"/>
      <c r="J16477" s="199"/>
    </row>
    <row r="16478" spans="9:10" x14ac:dyDescent="0.25">
      <c r="I16478" s="199"/>
      <c r="J16478" s="199"/>
    </row>
    <row r="16479" spans="9:10" x14ac:dyDescent="0.25">
      <c r="I16479" s="199"/>
      <c r="J16479" s="199"/>
    </row>
    <row r="16480" spans="9:10" x14ac:dyDescent="0.25">
      <c r="I16480" s="199"/>
      <c r="J16480" s="199"/>
    </row>
    <row r="16481" spans="9:10" x14ac:dyDescent="0.25">
      <c r="I16481" s="199"/>
      <c r="J16481" s="199"/>
    </row>
    <row r="16482" spans="9:10" x14ac:dyDescent="0.25">
      <c r="I16482" s="199"/>
      <c r="J16482" s="199"/>
    </row>
    <row r="16483" spans="9:10" x14ac:dyDescent="0.25">
      <c r="I16483" s="199"/>
      <c r="J16483" s="199"/>
    </row>
    <row r="16484" spans="9:10" x14ac:dyDescent="0.25">
      <c r="I16484" s="199"/>
      <c r="J16484" s="199"/>
    </row>
    <row r="16485" spans="9:10" x14ac:dyDescent="0.25">
      <c r="I16485" s="199"/>
      <c r="J16485" s="199"/>
    </row>
    <row r="16486" spans="9:10" x14ac:dyDescent="0.25">
      <c r="I16486" s="199"/>
      <c r="J16486" s="199"/>
    </row>
    <row r="16487" spans="9:10" x14ac:dyDescent="0.25">
      <c r="I16487" s="199"/>
      <c r="J16487" s="199"/>
    </row>
    <row r="16488" spans="9:10" x14ac:dyDescent="0.25">
      <c r="I16488" s="199"/>
      <c r="J16488" s="199"/>
    </row>
    <row r="16489" spans="9:10" x14ac:dyDescent="0.25">
      <c r="I16489" s="199"/>
      <c r="J16489" s="199"/>
    </row>
    <row r="16490" spans="9:10" x14ac:dyDescent="0.25">
      <c r="I16490" s="199"/>
      <c r="J16490" s="199"/>
    </row>
    <row r="16491" spans="9:10" x14ac:dyDescent="0.25">
      <c r="I16491" s="199"/>
      <c r="J16491" s="199"/>
    </row>
    <row r="16492" spans="9:10" x14ac:dyDescent="0.25">
      <c r="I16492" s="199"/>
      <c r="J16492" s="199"/>
    </row>
    <row r="16493" spans="9:10" x14ac:dyDescent="0.25">
      <c r="I16493" s="199"/>
      <c r="J16493" s="199"/>
    </row>
    <row r="16494" spans="9:10" x14ac:dyDescent="0.25">
      <c r="I16494" s="199"/>
      <c r="J16494" s="199"/>
    </row>
    <row r="16495" spans="9:10" x14ac:dyDescent="0.25">
      <c r="I16495" s="199"/>
      <c r="J16495" s="199"/>
    </row>
    <row r="16496" spans="9:10" x14ac:dyDescent="0.25">
      <c r="I16496" s="199"/>
      <c r="J16496" s="199"/>
    </row>
    <row r="16497" spans="9:10" x14ac:dyDescent="0.25">
      <c r="I16497" s="199"/>
      <c r="J16497" s="199"/>
    </row>
    <row r="16498" spans="9:10" x14ac:dyDescent="0.25">
      <c r="I16498" s="199"/>
      <c r="J16498" s="199"/>
    </row>
    <row r="16499" spans="9:10" x14ac:dyDescent="0.25">
      <c r="I16499" s="199"/>
      <c r="J16499" s="199"/>
    </row>
    <row r="16500" spans="9:10" x14ac:dyDescent="0.25">
      <c r="I16500" s="199"/>
      <c r="J16500" s="199"/>
    </row>
    <row r="16501" spans="9:10" x14ac:dyDescent="0.25">
      <c r="I16501" s="199"/>
      <c r="J16501" s="199"/>
    </row>
    <row r="16502" spans="9:10" x14ac:dyDescent="0.25">
      <c r="I16502" s="199"/>
      <c r="J16502" s="199"/>
    </row>
    <row r="16503" spans="9:10" x14ac:dyDescent="0.25">
      <c r="I16503" s="199"/>
      <c r="J16503" s="199"/>
    </row>
    <row r="16504" spans="9:10" x14ac:dyDescent="0.25">
      <c r="I16504" s="199"/>
      <c r="J16504" s="199"/>
    </row>
    <row r="16505" spans="9:10" x14ac:dyDescent="0.25">
      <c r="I16505" s="199"/>
      <c r="J16505" s="199"/>
    </row>
    <row r="16506" spans="9:10" x14ac:dyDescent="0.25">
      <c r="I16506" s="199"/>
      <c r="J16506" s="199"/>
    </row>
    <row r="16507" spans="9:10" x14ac:dyDescent="0.25">
      <c r="I16507" s="199"/>
      <c r="J16507" s="199"/>
    </row>
    <row r="16508" spans="9:10" x14ac:dyDescent="0.25">
      <c r="I16508" s="199"/>
      <c r="J16508" s="199"/>
    </row>
    <row r="16509" spans="9:10" x14ac:dyDescent="0.25">
      <c r="I16509" s="199"/>
      <c r="J16509" s="199"/>
    </row>
    <row r="16510" spans="9:10" x14ac:dyDescent="0.25">
      <c r="I16510" s="199"/>
      <c r="J16510" s="199"/>
    </row>
    <row r="16511" spans="9:10" x14ac:dyDescent="0.25">
      <c r="I16511" s="199"/>
      <c r="J16511" s="199"/>
    </row>
    <row r="16512" spans="9:10" x14ac:dyDescent="0.25">
      <c r="I16512" s="199"/>
      <c r="J16512" s="199"/>
    </row>
    <row r="16513" spans="9:10" x14ac:dyDescent="0.25">
      <c r="I16513" s="199"/>
      <c r="J16513" s="199"/>
    </row>
    <row r="16514" spans="9:10" x14ac:dyDescent="0.25">
      <c r="I16514" s="199"/>
      <c r="J16514" s="199"/>
    </row>
    <row r="16515" spans="9:10" x14ac:dyDescent="0.25">
      <c r="I16515" s="199"/>
      <c r="J16515" s="199"/>
    </row>
    <row r="16516" spans="9:10" x14ac:dyDescent="0.25">
      <c r="I16516" s="199"/>
      <c r="J16516" s="199"/>
    </row>
    <row r="16517" spans="9:10" x14ac:dyDescent="0.25">
      <c r="I16517" s="199"/>
      <c r="J16517" s="199"/>
    </row>
    <row r="16518" spans="9:10" x14ac:dyDescent="0.25">
      <c r="I16518" s="199"/>
      <c r="J16518" s="199"/>
    </row>
    <row r="16519" spans="9:10" x14ac:dyDescent="0.25">
      <c r="I16519" s="199"/>
      <c r="J16519" s="199"/>
    </row>
    <row r="16520" spans="9:10" x14ac:dyDescent="0.25">
      <c r="I16520" s="199"/>
      <c r="J16520" s="199"/>
    </row>
    <row r="16521" spans="9:10" x14ac:dyDescent="0.25">
      <c r="I16521" s="199"/>
      <c r="J16521" s="199"/>
    </row>
    <row r="16522" spans="9:10" x14ac:dyDescent="0.25">
      <c r="I16522" s="199"/>
      <c r="J16522" s="199"/>
    </row>
    <row r="16523" spans="9:10" x14ac:dyDescent="0.25">
      <c r="I16523" s="199"/>
      <c r="J16523" s="199"/>
    </row>
    <row r="16524" spans="9:10" x14ac:dyDescent="0.25">
      <c r="I16524" s="199"/>
      <c r="J16524" s="199"/>
    </row>
    <row r="16525" spans="9:10" x14ac:dyDescent="0.25">
      <c r="I16525" s="199"/>
      <c r="J16525" s="199"/>
    </row>
    <row r="16526" spans="9:10" x14ac:dyDescent="0.25">
      <c r="I16526" s="199"/>
      <c r="J16526" s="199"/>
    </row>
    <row r="16527" spans="9:10" x14ac:dyDescent="0.25">
      <c r="I16527" s="199"/>
      <c r="J16527" s="199"/>
    </row>
    <row r="16528" spans="9:10" x14ac:dyDescent="0.25">
      <c r="I16528" s="199"/>
      <c r="J16528" s="199"/>
    </row>
    <row r="16529" spans="9:10" x14ac:dyDescent="0.25">
      <c r="I16529" s="199"/>
      <c r="J16529" s="199"/>
    </row>
    <row r="16530" spans="9:10" x14ac:dyDescent="0.25">
      <c r="I16530" s="199"/>
      <c r="J16530" s="199"/>
    </row>
    <row r="16531" spans="9:10" x14ac:dyDescent="0.25">
      <c r="I16531" s="199"/>
      <c r="J16531" s="199"/>
    </row>
    <row r="16532" spans="9:10" x14ac:dyDescent="0.25">
      <c r="I16532" s="199"/>
      <c r="J16532" s="199"/>
    </row>
    <row r="16533" spans="9:10" x14ac:dyDescent="0.25">
      <c r="I16533" s="199"/>
      <c r="J16533" s="199"/>
    </row>
    <row r="16534" spans="9:10" x14ac:dyDescent="0.25">
      <c r="I16534" s="199"/>
      <c r="J16534" s="199"/>
    </row>
    <row r="16535" spans="9:10" x14ac:dyDescent="0.25">
      <c r="I16535" s="199"/>
      <c r="J16535" s="199"/>
    </row>
    <row r="16536" spans="9:10" x14ac:dyDescent="0.25">
      <c r="I16536" s="199"/>
      <c r="J16536" s="199"/>
    </row>
    <row r="16537" spans="9:10" x14ac:dyDescent="0.25">
      <c r="I16537" s="199"/>
      <c r="J16537" s="199"/>
    </row>
    <row r="16538" spans="9:10" x14ac:dyDescent="0.25">
      <c r="I16538" s="199"/>
      <c r="J16538" s="199"/>
    </row>
    <row r="16539" spans="9:10" x14ac:dyDescent="0.25">
      <c r="I16539" s="199"/>
      <c r="J16539" s="199"/>
    </row>
    <row r="16540" spans="9:10" x14ac:dyDescent="0.25">
      <c r="I16540" s="199"/>
      <c r="J16540" s="199"/>
    </row>
    <row r="16541" spans="9:10" x14ac:dyDescent="0.25">
      <c r="I16541" s="199"/>
      <c r="J16541" s="199"/>
    </row>
    <row r="16542" spans="9:10" x14ac:dyDescent="0.25">
      <c r="I16542" s="199"/>
      <c r="J16542" s="199"/>
    </row>
    <row r="16543" spans="9:10" x14ac:dyDescent="0.25">
      <c r="I16543" s="199"/>
      <c r="J16543" s="199"/>
    </row>
    <row r="16544" spans="9:10" x14ac:dyDescent="0.25">
      <c r="I16544" s="199"/>
      <c r="J16544" s="199"/>
    </row>
    <row r="16545" spans="9:10" x14ac:dyDescent="0.25">
      <c r="I16545" s="199"/>
      <c r="J16545" s="199"/>
    </row>
    <row r="16546" spans="9:10" x14ac:dyDescent="0.25">
      <c r="I16546" s="199"/>
      <c r="J16546" s="199"/>
    </row>
    <row r="16547" spans="9:10" x14ac:dyDescent="0.25">
      <c r="I16547" s="199"/>
      <c r="J16547" s="199"/>
    </row>
    <row r="16548" spans="9:10" x14ac:dyDescent="0.25">
      <c r="I16548" s="199"/>
      <c r="J16548" s="199"/>
    </row>
    <row r="16549" spans="9:10" x14ac:dyDescent="0.25">
      <c r="I16549" s="199"/>
      <c r="J16549" s="199"/>
    </row>
    <row r="16550" spans="9:10" x14ac:dyDescent="0.25">
      <c r="I16550" s="199"/>
      <c r="J16550" s="199"/>
    </row>
    <row r="16551" spans="9:10" x14ac:dyDescent="0.25">
      <c r="I16551" s="199"/>
      <c r="J16551" s="199"/>
    </row>
    <row r="16552" spans="9:10" x14ac:dyDescent="0.25">
      <c r="I16552" s="199"/>
      <c r="J16552" s="199"/>
    </row>
    <row r="16553" spans="9:10" x14ac:dyDescent="0.25">
      <c r="I16553" s="199"/>
      <c r="J16553" s="199"/>
    </row>
    <row r="16554" spans="9:10" x14ac:dyDescent="0.25">
      <c r="I16554" s="199"/>
      <c r="J16554" s="199"/>
    </row>
    <row r="16555" spans="9:10" x14ac:dyDescent="0.25">
      <c r="I16555" s="199"/>
      <c r="J16555" s="199"/>
    </row>
    <row r="16556" spans="9:10" x14ac:dyDescent="0.25">
      <c r="I16556" s="199"/>
      <c r="J16556" s="199"/>
    </row>
    <row r="16557" spans="9:10" x14ac:dyDescent="0.25">
      <c r="I16557" s="199"/>
      <c r="J16557" s="199"/>
    </row>
    <row r="16558" spans="9:10" x14ac:dyDescent="0.25">
      <c r="I16558" s="199"/>
      <c r="J16558" s="199"/>
    </row>
    <row r="16559" spans="9:10" x14ac:dyDescent="0.25">
      <c r="I16559" s="199"/>
      <c r="J16559" s="199"/>
    </row>
    <row r="16560" spans="9:10" x14ac:dyDescent="0.25">
      <c r="I16560" s="199"/>
      <c r="J16560" s="199"/>
    </row>
    <row r="16561" spans="9:10" x14ac:dyDescent="0.25">
      <c r="I16561" s="199"/>
      <c r="J16561" s="199"/>
    </row>
    <row r="16562" spans="9:10" x14ac:dyDescent="0.25">
      <c r="I16562" s="199"/>
      <c r="J16562" s="199"/>
    </row>
    <row r="16563" spans="9:10" x14ac:dyDescent="0.25">
      <c r="I16563" s="199"/>
      <c r="J16563" s="199"/>
    </row>
    <row r="16564" spans="9:10" x14ac:dyDescent="0.25">
      <c r="I16564" s="199"/>
      <c r="J16564" s="199"/>
    </row>
    <row r="16565" spans="9:10" x14ac:dyDescent="0.25">
      <c r="I16565" s="199"/>
      <c r="J16565" s="199"/>
    </row>
    <row r="16566" spans="9:10" x14ac:dyDescent="0.25">
      <c r="I16566" s="199"/>
      <c r="J16566" s="199"/>
    </row>
    <row r="16567" spans="9:10" x14ac:dyDescent="0.25">
      <c r="I16567" s="199"/>
      <c r="J16567" s="199"/>
    </row>
    <row r="16568" spans="9:10" x14ac:dyDescent="0.25">
      <c r="I16568" s="199"/>
      <c r="J16568" s="199"/>
    </row>
    <row r="16569" spans="9:10" x14ac:dyDescent="0.25">
      <c r="I16569" s="199"/>
      <c r="J16569" s="199"/>
    </row>
    <row r="16570" spans="9:10" x14ac:dyDescent="0.25">
      <c r="I16570" s="199"/>
      <c r="J16570" s="199"/>
    </row>
    <row r="16571" spans="9:10" x14ac:dyDescent="0.25">
      <c r="I16571" s="199"/>
      <c r="J16571" s="199"/>
    </row>
    <row r="16572" spans="9:10" x14ac:dyDescent="0.25">
      <c r="I16572" s="199"/>
      <c r="J16572" s="199"/>
    </row>
    <row r="16573" spans="9:10" x14ac:dyDescent="0.25">
      <c r="I16573" s="199"/>
      <c r="J16573" s="199"/>
    </row>
    <row r="16574" spans="9:10" x14ac:dyDescent="0.25">
      <c r="I16574" s="199"/>
      <c r="J16574" s="199"/>
    </row>
    <row r="16575" spans="9:10" x14ac:dyDescent="0.25">
      <c r="I16575" s="199"/>
      <c r="J16575" s="199"/>
    </row>
    <row r="16576" spans="9:10" x14ac:dyDescent="0.25">
      <c r="I16576" s="199"/>
      <c r="J16576" s="199"/>
    </row>
    <row r="16577" spans="9:10" x14ac:dyDescent="0.25">
      <c r="I16577" s="199"/>
      <c r="J16577" s="199"/>
    </row>
    <row r="16578" spans="9:10" x14ac:dyDescent="0.25">
      <c r="I16578" s="199"/>
      <c r="J16578" s="199"/>
    </row>
    <row r="16579" spans="9:10" x14ac:dyDescent="0.25">
      <c r="I16579" s="199"/>
      <c r="J16579" s="199"/>
    </row>
    <row r="16580" spans="9:10" x14ac:dyDescent="0.25">
      <c r="I16580" s="199"/>
      <c r="J16580" s="199"/>
    </row>
    <row r="16581" spans="9:10" x14ac:dyDescent="0.25">
      <c r="I16581" s="199"/>
      <c r="J16581" s="199"/>
    </row>
    <row r="16582" spans="9:10" x14ac:dyDescent="0.25">
      <c r="I16582" s="199"/>
      <c r="J16582" s="199"/>
    </row>
    <row r="16583" spans="9:10" x14ac:dyDescent="0.25">
      <c r="I16583" s="199"/>
      <c r="J16583" s="199"/>
    </row>
    <row r="16584" spans="9:10" x14ac:dyDescent="0.25">
      <c r="I16584" s="199"/>
      <c r="J16584" s="199"/>
    </row>
    <row r="16585" spans="9:10" x14ac:dyDescent="0.25">
      <c r="I16585" s="199"/>
      <c r="J16585" s="199"/>
    </row>
    <row r="16586" spans="9:10" x14ac:dyDescent="0.25">
      <c r="I16586" s="199"/>
      <c r="J16586" s="199"/>
    </row>
    <row r="16587" spans="9:10" x14ac:dyDescent="0.25">
      <c r="I16587" s="199"/>
      <c r="J16587" s="199"/>
    </row>
    <row r="16588" spans="9:10" x14ac:dyDescent="0.25">
      <c r="I16588" s="199"/>
      <c r="J16588" s="199"/>
    </row>
    <row r="16589" spans="9:10" x14ac:dyDescent="0.25">
      <c r="I16589" s="199"/>
      <c r="J16589" s="199"/>
    </row>
    <row r="16590" spans="9:10" x14ac:dyDescent="0.25">
      <c r="I16590" s="199"/>
      <c r="J16590" s="199"/>
    </row>
    <row r="16591" spans="9:10" x14ac:dyDescent="0.25">
      <c r="I16591" s="199"/>
      <c r="J16591" s="199"/>
    </row>
    <row r="16592" spans="9:10" x14ac:dyDescent="0.25">
      <c r="I16592" s="199"/>
      <c r="J16592" s="199"/>
    </row>
    <row r="16593" spans="9:10" x14ac:dyDescent="0.25">
      <c r="I16593" s="199"/>
      <c r="J16593" s="199"/>
    </row>
    <row r="16594" spans="9:10" x14ac:dyDescent="0.25">
      <c r="I16594" s="199"/>
      <c r="J16594" s="199"/>
    </row>
    <row r="16595" spans="9:10" x14ac:dyDescent="0.25">
      <c r="I16595" s="199"/>
      <c r="J16595" s="199"/>
    </row>
    <row r="16596" spans="9:10" x14ac:dyDescent="0.25">
      <c r="I16596" s="199"/>
      <c r="J16596" s="199"/>
    </row>
    <row r="16597" spans="9:10" x14ac:dyDescent="0.25">
      <c r="I16597" s="199"/>
      <c r="J16597" s="199"/>
    </row>
    <row r="16598" spans="9:10" x14ac:dyDescent="0.25">
      <c r="I16598" s="199"/>
      <c r="J16598" s="199"/>
    </row>
    <row r="16599" spans="9:10" x14ac:dyDescent="0.25">
      <c r="I16599" s="199"/>
      <c r="J16599" s="199"/>
    </row>
    <row r="16600" spans="9:10" x14ac:dyDescent="0.25">
      <c r="I16600" s="199"/>
      <c r="J16600" s="199"/>
    </row>
    <row r="16601" spans="9:10" x14ac:dyDescent="0.25">
      <c r="I16601" s="199"/>
      <c r="J16601" s="199"/>
    </row>
    <row r="16602" spans="9:10" x14ac:dyDescent="0.25">
      <c r="I16602" s="199"/>
      <c r="J16602" s="199"/>
    </row>
    <row r="16603" spans="9:10" x14ac:dyDescent="0.25">
      <c r="I16603" s="199"/>
      <c r="J16603" s="199"/>
    </row>
    <row r="16604" spans="9:10" x14ac:dyDescent="0.25">
      <c r="I16604" s="199"/>
      <c r="J16604" s="199"/>
    </row>
    <row r="16605" spans="9:10" x14ac:dyDescent="0.25">
      <c r="I16605" s="199"/>
      <c r="J16605" s="199"/>
    </row>
    <row r="16606" spans="9:10" x14ac:dyDescent="0.25">
      <c r="I16606" s="199"/>
      <c r="J16606" s="199"/>
    </row>
    <row r="16607" spans="9:10" x14ac:dyDescent="0.25">
      <c r="I16607" s="199"/>
      <c r="J16607" s="199"/>
    </row>
    <row r="16608" spans="9:10" x14ac:dyDescent="0.25">
      <c r="I16608" s="199"/>
      <c r="J16608" s="199"/>
    </row>
    <row r="16609" spans="9:10" x14ac:dyDescent="0.25">
      <c r="I16609" s="199"/>
      <c r="J16609" s="199"/>
    </row>
    <row r="16610" spans="9:10" x14ac:dyDescent="0.25">
      <c r="I16610" s="199"/>
      <c r="J16610" s="199"/>
    </row>
    <row r="16611" spans="9:10" x14ac:dyDescent="0.25">
      <c r="I16611" s="199"/>
      <c r="J16611" s="199"/>
    </row>
    <row r="16612" spans="9:10" x14ac:dyDescent="0.25">
      <c r="I16612" s="199"/>
      <c r="J16612" s="199"/>
    </row>
    <row r="16613" spans="9:10" x14ac:dyDescent="0.25">
      <c r="I16613" s="199"/>
      <c r="J16613" s="199"/>
    </row>
    <row r="16614" spans="9:10" x14ac:dyDescent="0.25">
      <c r="I16614" s="199"/>
      <c r="J16614" s="199"/>
    </row>
    <row r="16615" spans="9:10" x14ac:dyDescent="0.25">
      <c r="I16615" s="199"/>
      <c r="J16615" s="199"/>
    </row>
    <row r="16616" spans="9:10" x14ac:dyDescent="0.25">
      <c r="I16616" s="199"/>
      <c r="J16616" s="199"/>
    </row>
    <row r="16617" spans="9:10" x14ac:dyDescent="0.25">
      <c r="I16617" s="199"/>
      <c r="J16617" s="199"/>
    </row>
    <row r="16618" spans="9:10" x14ac:dyDescent="0.25">
      <c r="I16618" s="199"/>
      <c r="J16618" s="199"/>
    </row>
    <row r="16619" spans="9:10" x14ac:dyDescent="0.25">
      <c r="I16619" s="199"/>
      <c r="J16619" s="199"/>
    </row>
    <row r="16620" spans="9:10" x14ac:dyDescent="0.25">
      <c r="I16620" s="199"/>
      <c r="J16620" s="199"/>
    </row>
    <row r="16621" spans="9:10" x14ac:dyDescent="0.25">
      <c r="I16621" s="199"/>
      <c r="J16621" s="199"/>
    </row>
    <row r="16622" spans="9:10" x14ac:dyDescent="0.25">
      <c r="I16622" s="199"/>
      <c r="J16622" s="199"/>
    </row>
    <row r="16623" spans="9:10" x14ac:dyDescent="0.25">
      <c r="I16623" s="199"/>
      <c r="J16623" s="199"/>
    </row>
    <row r="16624" spans="9:10" x14ac:dyDescent="0.25">
      <c r="I16624" s="199"/>
      <c r="J16624" s="199"/>
    </row>
    <row r="16625" spans="9:10" x14ac:dyDescent="0.25">
      <c r="I16625" s="199"/>
      <c r="J16625" s="199"/>
    </row>
    <row r="16626" spans="9:10" x14ac:dyDescent="0.25">
      <c r="I16626" s="199"/>
      <c r="J16626" s="199"/>
    </row>
    <row r="16627" spans="9:10" x14ac:dyDescent="0.25">
      <c r="I16627" s="199"/>
      <c r="J16627" s="199"/>
    </row>
    <row r="16628" spans="9:10" x14ac:dyDescent="0.25">
      <c r="I16628" s="199"/>
      <c r="J16628" s="199"/>
    </row>
    <row r="16629" spans="9:10" x14ac:dyDescent="0.25">
      <c r="I16629" s="199"/>
      <c r="J16629" s="199"/>
    </row>
    <row r="16630" spans="9:10" x14ac:dyDescent="0.25">
      <c r="I16630" s="199"/>
      <c r="J16630" s="199"/>
    </row>
    <row r="16631" spans="9:10" x14ac:dyDescent="0.25">
      <c r="I16631" s="199"/>
      <c r="J16631" s="199"/>
    </row>
    <row r="16632" spans="9:10" x14ac:dyDescent="0.25">
      <c r="I16632" s="199"/>
      <c r="J16632" s="199"/>
    </row>
    <row r="16633" spans="9:10" x14ac:dyDescent="0.25">
      <c r="I16633" s="199"/>
      <c r="J16633" s="199"/>
    </row>
    <row r="16634" spans="9:10" x14ac:dyDescent="0.25">
      <c r="I16634" s="199"/>
      <c r="J16634" s="199"/>
    </row>
    <row r="16635" spans="9:10" x14ac:dyDescent="0.25">
      <c r="I16635" s="199"/>
      <c r="J16635" s="199"/>
    </row>
    <row r="16636" spans="9:10" x14ac:dyDescent="0.25">
      <c r="I16636" s="199"/>
      <c r="J16636" s="199"/>
    </row>
    <row r="16637" spans="9:10" x14ac:dyDescent="0.25">
      <c r="I16637" s="199"/>
      <c r="J16637" s="199"/>
    </row>
    <row r="16638" spans="9:10" x14ac:dyDescent="0.25">
      <c r="I16638" s="199"/>
      <c r="J16638" s="199"/>
    </row>
    <row r="16639" spans="9:10" x14ac:dyDescent="0.25">
      <c r="I16639" s="199"/>
      <c r="J16639" s="199"/>
    </row>
    <row r="16640" spans="9:10" x14ac:dyDescent="0.25">
      <c r="I16640" s="199"/>
      <c r="J16640" s="199"/>
    </row>
    <row r="16641" spans="9:10" x14ac:dyDescent="0.25">
      <c r="I16641" s="199"/>
      <c r="J16641" s="199"/>
    </row>
    <row r="16642" spans="9:10" x14ac:dyDescent="0.25">
      <c r="I16642" s="199"/>
      <c r="J16642" s="199"/>
    </row>
    <row r="16643" spans="9:10" x14ac:dyDescent="0.25">
      <c r="I16643" s="199"/>
      <c r="J16643" s="199"/>
    </row>
    <row r="16644" spans="9:10" x14ac:dyDescent="0.25">
      <c r="I16644" s="199"/>
      <c r="J16644" s="199"/>
    </row>
    <row r="16645" spans="9:10" x14ac:dyDescent="0.25">
      <c r="I16645" s="199"/>
      <c r="J16645" s="199"/>
    </row>
    <row r="16646" spans="9:10" x14ac:dyDescent="0.25">
      <c r="I16646" s="199"/>
      <c r="J16646" s="199"/>
    </row>
    <row r="16647" spans="9:10" x14ac:dyDescent="0.25">
      <c r="I16647" s="199"/>
      <c r="J16647" s="199"/>
    </row>
    <row r="16648" spans="9:10" x14ac:dyDescent="0.25">
      <c r="I16648" s="199"/>
      <c r="J16648" s="199"/>
    </row>
    <row r="16649" spans="9:10" x14ac:dyDescent="0.25">
      <c r="I16649" s="199"/>
      <c r="J16649" s="199"/>
    </row>
    <row r="16650" spans="9:10" x14ac:dyDescent="0.25">
      <c r="I16650" s="199"/>
      <c r="J16650" s="199"/>
    </row>
    <row r="16651" spans="9:10" x14ac:dyDescent="0.25">
      <c r="I16651" s="199"/>
      <c r="J16651" s="199"/>
    </row>
    <row r="16652" spans="9:10" x14ac:dyDescent="0.25">
      <c r="I16652" s="199"/>
      <c r="J16652" s="199"/>
    </row>
    <row r="16653" spans="9:10" x14ac:dyDescent="0.25">
      <c r="I16653" s="199"/>
      <c r="J16653" s="199"/>
    </row>
    <row r="16654" spans="9:10" x14ac:dyDescent="0.25">
      <c r="I16654" s="199"/>
      <c r="J16654" s="199"/>
    </row>
    <row r="16655" spans="9:10" x14ac:dyDescent="0.25">
      <c r="I16655" s="199"/>
      <c r="J16655" s="199"/>
    </row>
    <row r="16656" spans="9:10" x14ac:dyDescent="0.25">
      <c r="I16656" s="199"/>
      <c r="J16656" s="199"/>
    </row>
    <row r="16657" spans="9:10" x14ac:dyDescent="0.25">
      <c r="I16657" s="199"/>
      <c r="J16657" s="199"/>
    </row>
    <row r="16658" spans="9:10" x14ac:dyDescent="0.25">
      <c r="I16658" s="199"/>
      <c r="J16658" s="199"/>
    </row>
    <row r="16659" spans="9:10" x14ac:dyDescent="0.25">
      <c r="I16659" s="199"/>
      <c r="J16659" s="199"/>
    </row>
    <row r="16660" spans="9:10" x14ac:dyDescent="0.25">
      <c r="I16660" s="199"/>
      <c r="J16660" s="199"/>
    </row>
    <row r="16661" spans="9:10" x14ac:dyDescent="0.25">
      <c r="I16661" s="199"/>
      <c r="J16661" s="199"/>
    </row>
    <row r="16662" spans="9:10" x14ac:dyDescent="0.25">
      <c r="I16662" s="199"/>
      <c r="J16662" s="199"/>
    </row>
    <row r="16663" spans="9:10" x14ac:dyDescent="0.25">
      <c r="I16663" s="199"/>
      <c r="J16663" s="199"/>
    </row>
    <row r="16664" spans="9:10" x14ac:dyDescent="0.25">
      <c r="I16664" s="199"/>
      <c r="J16664" s="199"/>
    </row>
    <row r="16665" spans="9:10" x14ac:dyDescent="0.25">
      <c r="I16665" s="199"/>
      <c r="J16665" s="199"/>
    </row>
    <row r="16666" spans="9:10" x14ac:dyDescent="0.25">
      <c r="I16666" s="199"/>
      <c r="J16666" s="199"/>
    </row>
    <row r="16667" spans="9:10" x14ac:dyDescent="0.25">
      <c r="I16667" s="199"/>
      <c r="J16667" s="199"/>
    </row>
    <row r="16668" spans="9:10" x14ac:dyDescent="0.25">
      <c r="I16668" s="199"/>
      <c r="J16668" s="199"/>
    </row>
    <row r="16669" spans="9:10" x14ac:dyDescent="0.25">
      <c r="I16669" s="199"/>
      <c r="J16669" s="199"/>
    </row>
    <row r="16670" spans="9:10" x14ac:dyDescent="0.25">
      <c r="I16670" s="199"/>
      <c r="J16670" s="199"/>
    </row>
    <row r="16671" spans="9:10" x14ac:dyDescent="0.25">
      <c r="I16671" s="199"/>
      <c r="J16671" s="199"/>
    </row>
    <row r="16672" spans="9:10" x14ac:dyDescent="0.25">
      <c r="I16672" s="199"/>
      <c r="J16672" s="199"/>
    </row>
    <row r="16673" spans="9:10" x14ac:dyDescent="0.25">
      <c r="I16673" s="199"/>
      <c r="J16673" s="199"/>
    </row>
    <row r="16674" spans="9:10" x14ac:dyDescent="0.25">
      <c r="I16674" s="199"/>
      <c r="J16674" s="199"/>
    </row>
    <row r="16675" spans="9:10" x14ac:dyDescent="0.25">
      <c r="I16675" s="199"/>
      <c r="J16675" s="199"/>
    </row>
    <row r="16676" spans="9:10" x14ac:dyDescent="0.25">
      <c r="I16676" s="199"/>
      <c r="J16676" s="199"/>
    </row>
    <row r="16677" spans="9:10" x14ac:dyDescent="0.25">
      <c r="I16677" s="199"/>
      <c r="J16677" s="199"/>
    </row>
    <row r="16678" spans="9:10" x14ac:dyDescent="0.25">
      <c r="I16678" s="199"/>
      <c r="J16678" s="199"/>
    </row>
    <row r="16679" spans="9:10" x14ac:dyDescent="0.25">
      <c r="I16679" s="199"/>
      <c r="J16679" s="199"/>
    </row>
    <row r="16680" spans="9:10" x14ac:dyDescent="0.25">
      <c r="I16680" s="199"/>
      <c r="J16680" s="199"/>
    </row>
    <row r="16681" spans="9:10" x14ac:dyDescent="0.25">
      <c r="I16681" s="199"/>
      <c r="J16681" s="199"/>
    </row>
    <row r="16682" spans="9:10" x14ac:dyDescent="0.25">
      <c r="I16682" s="199"/>
      <c r="J16682" s="199"/>
    </row>
    <row r="16683" spans="9:10" x14ac:dyDescent="0.25">
      <c r="I16683" s="199"/>
      <c r="J16683" s="199"/>
    </row>
    <row r="16684" spans="9:10" x14ac:dyDescent="0.25">
      <c r="I16684" s="199"/>
      <c r="J16684" s="199"/>
    </row>
    <row r="16685" spans="9:10" x14ac:dyDescent="0.25">
      <c r="I16685" s="199"/>
      <c r="J16685" s="199"/>
    </row>
    <row r="16686" spans="9:10" x14ac:dyDescent="0.25">
      <c r="I16686" s="199"/>
      <c r="J16686" s="199"/>
    </row>
    <row r="16687" spans="9:10" x14ac:dyDescent="0.25">
      <c r="I16687" s="199"/>
      <c r="J16687" s="199"/>
    </row>
    <row r="16688" spans="9:10" x14ac:dyDescent="0.25">
      <c r="I16688" s="199"/>
      <c r="J16688" s="199"/>
    </row>
    <row r="16689" spans="9:10" x14ac:dyDescent="0.25">
      <c r="I16689" s="199"/>
      <c r="J16689" s="199"/>
    </row>
    <row r="16690" spans="9:10" x14ac:dyDescent="0.25">
      <c r="I16690" s="199"/>
      <c r="J16690" s="199"/>
    </row>
    <row r="16691" spans="9:10" x14ac:dyDescent="0.25">
      <c r="I16691" s="199"/>
      <c r="J16691" s="199"/>
    </row>
    <row r="16692" spans="9:10" x14ac:dyDescent="0.25">
      <c r="I16692" s="199"/>
      <c r="J16692" s="199"/>
    </row>
    <row r="16693" spans="9:10" x14ac:dyDescent="0.25">
      <c r="I16693" s="199"/>
      <c r="J16693" s="199"/>
    </row>
    <row r="16694" spans="9:10" x14ac:dyDescent="0.25">
      <c r="I16694" s="199"/>
      <c r="J16694" s="199"/>
    </row>
    <row r="16695" spans="9:10" x14ac:dyDescent="0.25">
      <c r="I16695" s="199"/>
      <c r="J16695" s="199"/>
    </row>
    <row r="16696" spans="9:10" x14ac:dyDescent="0.25">
      <c r="I16696" s="199"/>
      <c r="J16696" s="199"/>
    </row>
    <row r="16697" spans="9:10" x14ac:dyDescent="0.25">
      <c r="I16697" s="199"/>
      <c r="J16697" s="199"/>
    </row>
    <row r="16698" spans="9:10" x14ac:dyDescent="0.25">
      <c r="I16698" s="199"/>
      <c r="J16698" s="199"/>
    </row>
    <row r="16699" spans="9:10" x14ac:dyDescent="0.25">
      <c r="I16699" s="199"/>
      <c r="J16699" s="199"/>
    </row>
    <row r="16700" spans="9:10" x14ac:dyDescent="0.25">
      <c r="I16700" s="199"/>
      <c r="J16700" s="199"/>
    </row>
    <row r="16701" spans="9:10" x14ac:dyDescent="0.25">
      <c r="I16701" s="199"/>
      <c r="J16701" s="199"/>
    </row>
    <row r="16702" spans="9:10" x14ac:dyDescent="0.25">
      <c r="I16702" s="199"/>
      <c r="J16702" s="199"/>
    </row>
    <row r="16703" spans="9:10" x14ac:dyDescent="0.25">
      <c r="I16703" s="199"/>
      <c r="J16703" s="199"/>
    </row>
    <row r="16704" spans="9:10" x14ac:dyDescent="0.25">
      <c r="I16704" s="199"/>
      <c r="J16704" s="199"/>
    </row>
    <row r="16705" spans="9:10" x14ac:dyDescent="0.25">
      <c r="I16705" s="199"/>
      <c r="J16705" s="199"/>
    </row>
    <row r="16706" spans="9:10" x14ac:dyDescent="0.25">
      <c r="I16706" s="199"/>
      <c r="J16706" s="199"/>
    </row>
    <row r="16707" spans="9:10" x14ac:dyDescent="0.25">
      <c r="I16707" s="199"/>
      <c r="J16707" s="199"/>
    </row>
    <row r="16708" spans="9:10" x14ac:dyDescent="0.25">
      <c r="I16708" s="199"/>
      <c r="J16708" s="199"/>
    </row>
    <row r="16709" spans="9:10" x14ac:dyDescent="0.25">
      <c r="I16709" s="199"/>
      <c r="J16709" s="199"/>
    </row>
    <row r="16710" spans="9:10" x14ac:dyDescent="0.25">
      <c r="I16710" s="199"/>
      <c r="J16710" s="199"/>
    </row>
    <row r="16711" spans="9:10" x14ac:dyDescent="0.25">
      <c r="I16711" s="199"/>
      <c r="J16711" s="199"/>
    </row>
    <row r="16712" spans="9:10" x14ac:dyDescent="0.25">
      <c r="I16712" s="199"/>
      <c r="J16712" s="199"/>
    </row>
    <row r="16713" spans="9:10" x14ac:dyDescent="0.25">
      <c r="I16713" s="199"/>
      <c r="J16713" s="199"/>
    </row>
    <row r="16714" spans="9:10" x14ac:dyDescent="0.25">
      <c r="I16714" s="199"/>
      <c r="J16714" s="199"/>
    </row>
    <row r="16715" spans="9:10" x14ac:dyDescent="0.25">
      <c r="I16715" s="199"/>
      <c r="J16715" s="199"/>
    </row>
    <row r="16716" spans="9:10" x14ac:dyDescent="0.25">
      <c r="I16716" s="199"/>
      <c r="J16716" s="199"/>
    </row>
    <row r="16717" spans="9:10" x14ac:dyDescent="0.25">
      <c r="I16717" s="199"/>
      <c r="J16717" s="199"/>
    </row>
    <row r="16718" spans="9:10" x14ac:dyDescent="0.25">
      <c r="I16718" s="199"/>
      <c r="J16718" s="199"/>
    </row>
    <row r="16719" spans="9:10" x14ac:dyDescent="0.25">
      <c r="I16719" s="199"/>
      <c r="J16719" s="199"/>
    </row>
    <row r="16720" spans="9:10" x14ac:dyDescent="0.25">
      <c r="I16720" s="199"/>
      <c r="J16720" s="199"/>
    </row>
    <row r="16721" spans="9:10" x14ac:dyDescent="0.25">
      <c r="I16721" s="199"/>
      <c r="J16721" s="199"/>
    </row>
    <row r="16722" spans="9:10" x14ac:dyDescent="0.25">
      <c r="I16722" s="199"/>
      <c r="J16722" s="199"/>
    </row>
    <row r="16723" spans="9:10" x14ac:dyDescent="0.25">
      <c r="I16723" s="199"/>
      <c r="J16723" s="199"/>
    </row>
    <row r="16724" spans="9:10" x14ac:dyDescent="0.25">
      <c r="I16724" s="199"/>
      <c r="J16724" s="199"/>
    </row>
    <row r="16725" spans="9:10" x14ac:dyDescent="0.25">
      <c r="I16725" s="199"/>
      <c r="J16725" s="199"/>
    </row>
    <row r="16726" spans="9:10" x14ac:dyDescent="0.25">
      <c r="I16726" s="199"/>
      <c r="J16726" s="199"/>
    </row>
    <row r="16727" spans="9:10" x14ac:dyDescent="0.25">
      <c r="I16727" s="199"/>
      <c r="J16727" s="199"/>
    </row>
    <row r="16728" spans="9:10" x14ac:dyDescent="0.25">
      <c r="I16728" s="199"/>
      <c r="J16728" s="199"/>
    </row>
    <row r="16729" spans="9:10" x14ac:dyDescent="0.25">
      <c r="I16729" s="199"/>
      <c r="J16729" s="199"/>
    </row>
    <row r="16730" spans="9:10" x14ac:dyDescent="0.25">
      <c r="I16730" s="199"/>
      <c r="J16730" s="199"/>
    </row>
    <row r="16731" spans="9:10" x14ac:dyDescent="0.25">
      <c r="I16731" s="199"/>
      <c r="J16731" s="199"/>
    </row>
    <row r="16732" spans="9:10" x14ac:dyDescent="0.25">
      <c r="I16732" s="199"/>
      <c r="J16732" s="199"/>
    </row>
    <row r="16733" spans="9:10" x14ac:dyDescent="0.25">
      <c r="I16733" s="199"/>
      <c r="J16733" s="199"/>
    </row>
    <row r="16734" spans="9:10" x14ac:dyDescent="0.25">
      <c r="I16734" s="199"/>
      <c r="J16734" s="199"/>
    </row>
    <row r="16735" spans="9:10" x14ac:dyDescent="0.25">
      <c r="I16735" s="199"/>
      <c r="J16735" s="199"/>
    </row>
    <row r="16736" spans="9:10" x14ac:dyDescent="0.25">
      <c r="I16736" s="199"/>
      <c r="J16736" s="199"/>
    </row>
    <row r="16737" spans="9:10" x14ac:dyDescent="0.25">
      <c r="I16737" s="199"/>
      <c r="J16737" s="199"/>
    </row>
    <row r="16738" spans="9:10" x14ac:dyDescent="0.25">
      <c r="I16738" s="199"/>
      <c r="J16738" s="199"/>
    </row>
    <row r="16739" spans="9:10" x14ac:dyDescent="0.25">
      <c r="I16739" s="199"/>
      <c r="J16739" s="199"/>
    </row>
    <row r="16740" spans="9:10" x14ac:dyDescent="0.25">
      <c r="I16740" s="199"/>
      <c r="J16740" s="199"/>
    </row>
    <row r="16741" spans="9:10" x14ac:dyDescent="0.25">
      <c r="I16741" s="199"/>
      <c r="J16741" s="199"/>
    </row>
    <row r="16742" spans="9:10" x14ac:dyDescent="0.25">
      <c r="I16742" s="199"/>
      <c r="J16742" s="199"/>
    </row>
    <row r="16743" spans="9:10" x14ac:dyDescent="0.25">
      <c r="I16743" s="199"/>
      <c r="J16743" s="199"/>
    </row>
    <row r="16744" spans="9:10" x14ac:dyDescent="0.25">
      <c r="I16744" s="199"/>
      <c r="J16744" s="199"/>
    </row>
    <row r="16745" spans="9:10" x14ac:dyDescent="0.25">
      <c r="I16745" s="199"/>
      <c r="J16745" s="199"/>
    </row>
    <row r="16746" spans="9:10" x14ac:dyDescent="0.25">
      <c r="I16746" s="199"/>
      <c r="J16746" s="199"/>
    </row>
    <row r="16747" spans="9:10" x14ac:dyDescent="0.25">
      <c r="I16747" s="199"/>
      <c r="J16747" s="199"/>
    </row>
    <row r="16748" spans="9:10" x14ac:dyDescent="0.25">
      <c r="I16748" s="199"/>
      <c r="J16748" s="199"/>
    </row>
    <row r="16749" spans="9:10" x14ac:dyDescent="0.25">
      <c r="I16749" s="199"/>
      <c r="J16749" s="199"/>
    </row>
    <row r="16750" spans="9:10" x14ac:dyDescent="0.25">
      <c r="I16750" s="199"/>
      <c r="J16750" s="199"/>
    </row>
    <row r="16751" spans="9:10" x14ac:dyDescent="0.25">
      <c r="I16751" s="199"/>
      <c r="J16751" s="199"/>
    </row>
    <row r="16752" spans="9:10" x14ac:dyDescent="0.25">
      <c r="I16752" s="199"/>
      <c r="J16752" s="199"/>
    </row>
    <row r="16753" spans="9:10" x14ac:dyDescent="0.25">
      <c r="I16753" s="199"/>
      <c r="J16753" s="199"/>
    </row>
    <row r="16754" spans="9:10" x14ac:dyDescent="0.25">
      <c r="I16754" s="199"/>
      <c r="J16754" s="199"/>
    </row>
    <row r="16755" spans="9:10" x14ac:dyDescent="0.25">
      <c r="I16755" s="199"/>
      <c r="J16755" s="199"/>
    </row>
    <row r="16756" spans="9:10" x14ac:dyDescent="0.25">
      <c r="I16756" s="199"/>
      <c r="J16756" s="199"/>
    </row>
    <row r="16757" spans="9:10" x14ac:dyDescent="0.25">
      <c r="I16757" s="199"/>
      <c r="J16757" s="199"/>
    </row>
    <row r="16758" spans="9:10" x14ac:dyDescent="0.25">
      <c r="I16758" s="199"/>
      <c r="J16758" s="199"/>
    </row>
    <row r="16759" spans="9:10" x14ac:dyDescent="0.25">
      <c r="I16759" s="199"/>
      <c r="J16759" s="199"/>
    </row>
    <row r="16760" spans="9:10" x14ac:dyDescent="0.25">
      <c r="I16760" s="199"/>
      <c r="J16760" s="199"/>
    </row>
    <row r="16761" spans="9:10" x14ac:dyDescent="0.25">
      <c r="I16761" s="199"/>
      <c r="J16761" s="199"/>
    </row>
    <row r="16762" spans="9:10" x14ac:dyDescent="0.25">
      <c r="I16762" s="199"/>
      <c r="J16762" s="199"/>
    </row>
    <row r="16763" spans="9:10" x14ac:dyDescent="0.25">
      <c r="I16763" s="199"/>
      <c r="J16763" s="199"/>
    </row>
    <row r="16764" spans="9:10" x14ac:dyDescent="0.25">
      <c r="I16764" s="199"/>
      <c r="J16764" s="199"/>
    </row>
    <row r="16765" spans="9:10" x14ac:dyDescent="0.25">
      <c r="I16765" s="199"/>
      <c r="J16765" s="199"/>
    </row>
    <row r="16766" spans="9:10" x14ac:dyDescent="0.25">
      <c r="I16766" s="199"/>
      <c r="J16766" s="199"/>
    </row>
    <row r="16767" spans="9:10" x14ac:dyDescent="0.25">
      <c r="I16767" s="199"/>
      <c r="J16767" s="199"/>
    </row>
    <row r="16768" spans="9:10" x14ac:dyDescent="0.25">
      <c r="I16768" s="199"/>
      <c r="J16768" s="199"/>
    </row>
    <row r="16769" spans="9:10" x14ac:dyDescent="0.25">
      <c r="I16769" s="199"/>
      <c r="J16769" s="199"/>
    </row>
    <row r="16770" spans="9:10" x14ac:dyDescent="0.25">
      <c r="I16770" s="199"/>
      <c r="J16770" s="199"/>
    </row>
    <row r="16771" spans="9:10" x14ac:dyDescent="0.25">
      <c r="I16771" s="199"/>
      <c r="J16771" s="199"/>
    </row>
    <row r="16772" spans="9:10" x14ac:dyDescent="0.25">
      <c r="I16772" s="199"/>
      <c r="J16772" s="199"/>
    </row>
    <row r="16773" spans="9:10" x14ac:dyDescent="0.25">
      <c r="I16773" s="199"/>
      <c r="J16773" s="199"/>
    </row>
    <row r="16774" spans="9:10" x14ac:dyDescent="0.25">
      <c r="I16774" s="199"/>
      <c r="J16774" s="199"/>
    </row>
    <row r="16775" spans="9:10" x14ac:dyDescent="0.25">
      <c r="I16775" s="199"/>
      <c r="J16775" s="199"/>
    </row>
    <row r="16776" spans="9:10" x14ac:dyDescent="0.25">
      <c r="I16776" s="199"/>
      <c r="J16776" s="199"/>
    </row>
    <row r="16777" spans="9:10" x14ac:dyDescent="0.25">
      <c r="I16777" s="199"/>
      <c r="J16777" s="199"/>
    </row>
    <row r="16778" spans="9:10" x14ac:dyDescent="0.25">
      <c r="I16778" s="199"/>
      <c r="J16778" s="199"/>
    </row>
    <row r="16779" spans="9:10" x14ac:dyDescent="0.25">
      <c r="I16779" s="199"/>
      <c r="J16779" s="199"/>
    </row>
    <row r="16780" spans="9:10" x14ac:dyDescent="0.25">
      <c r="I16780" s="199"/>
      <c r="J16780" s="199"/>
    </row>
    <row r="16781" spans="9:10" x14ac:dyDescent="0.25">
      <c r="I16781" s="199"/>
      <c r="J16781" s="199"/>
    </row>
    <row r="16782" spans="9:10" x14ac:dyDescent="0.25">
      <c r="I16782" s="199"/>
      <c r="J16782" s="199"/>
    </row>
    <row r="16783" spans="9:10" x14ac:dyDescent="0.25">
      <c r="I16783" s="199"/>
      <c r="J16783" s="199"/>
    </row>
    <row r="16784" spans="9:10" x14ac:dyDescent="0.25">
      <c r="I16784" s="199"/>
      <c r="J16784" s="199"/>
    </row>
    <row r="16785" spans="9:10" x14ac:dyDescent="0.25">
      <c r="I16785" s="199"/>
      <c r="J16785" s="199"/>
    </row>
    <row r="16786" spans="9:10" x14ac:dyDescent="0.25">
      <c r="I16786" s="199"/>
      <c r="J16786" s="199"/>
    </row>
    <row r="16787" spans="9:10" x14ac:dyDescent="0.25">
      <c r="I16787" s="199"/>
      <c r="J16787" s="199"/>
    </row>
    <row r="16788" spans="9:10" x14ac:dyDescent="0.25">
      <c r="I16788" s="199"/>
      <c r="J16788" s="199"/>
    </row>
    <row r="16789" spans="9:10" x14ac:dyDescent="0.25">
      <c r="I16789" s="199"/>
      <c r="J16789" s="199"/>
    </row>
    <row r="16790" spans="9:10" x14ac:dyDescent="0.25">
      <c r="I16790" s="199"/>
      <c r="J16790" s="199"/>
    </row>
    <row r="16791" spans="9:10" x14ac:dyDescent="0.25">
      <c r="I16791" s="199"/>
      <c r="J16791" s="199"/>
    </row>
    <row r="16792" spans="9:10" x14ac:dyDescent="0.25">
      <c r="I16792" s="199"/>
      <c r="J16792" s="199"/>
    </row>
    <row r="16793" spans="9:10" x14ac:dyDescent="0.25">
      <c r="I16793" s="199"/>
      <c r="J16793" s="199"/>
    </row>
    <row r="16794" spans="9:10" x14ac:dyDescent="0.25">
      <c r="I16794" s="199"/>
      <c r="J16794" s="199"/>
    </row>
    <row r="16795" spans="9:10" x14ac:dyDescent="0.25">
      <c r="I16795" s="199"/>
      <c r="J16795" s="199"/>
    </row>
    <row r="16796" spans="9:10" x14ac:dyDescent="0.25">
      <c r="I16796" s="199"/>
      <c r="J16796" s="199"/>
    </row>
    <row r="16797" spans="9:10" x14ac:dyDescent="0.25">
      <c r="I16797" s="199"/>
      <c r="J16797" s="199"/>
    </row>
    <row r="16798" spans="9:10" x14ac:dyDescent="0.25">
      <c r="I16798" s="199"/>
      <c r="J16798" s="199"/>
    </row>
    <row r="16799" spans="9:10" x14ac:dyDescent="0.25">
      <c r="I16799" s="199"/>
      <c r="J16799" s="199"/>
    </row>
    <row r="16800" spans="9:10" x14ac:dyDescent="0.25">
      <c r="I16800" s="199"/>
      <c r="J16800" s="199"/>
    </row>
    <row r="16801" spans="9:10" x14ac:dyDescent="0.25">
      <c r="I16801" s="199"/>
      <c r="J16801" s="199"/>
    </row>
    <row r="16802" spans="9:10" x14ac:dyDescent="0.25">
      <c r="I16802" s="199"/>
      <c r="J16802" s="199"/>
    </row>
    <row r="16803" spans="9:10" x14ac:dyDescent="0.25">
      <c r="I16803" s="199"/>
      <c r="J16803" s="199"/>
    </row>
    <row r="16804" spans="9:10" x14ac:dyDescent="0.25">
      <c r="I16804" s="199"/>
      <c r="J16804" s="199"/>
    </row>
    <row r="16805" spans="9:10" x14ac:dyDescent="0.25">
      <c r="I16805" s="199"/>
      <c r="J16805" s="199"/>
    </row>
    <row r="16806" spans="9:10" x14ac:dyDescent="0.25">
      <c r="I16806" s="199"/>
      <c r="J16806" s="199"/>
    </row>
    <row r="16807" spans="9:10" x14ac:dyDescent="0.25">
      <c r="I16807" s="199"/>
      <c r="J16807" s="199"/>
    </row>
    <row r="16808" spans="9:10" x14ac:dyDescent="0.25">
      <c r="I16808" s="199"/>
      <c r="J16808" s="199"/>
    </row>
    <row r="16809" spans="9:10" x14ac:dyDescent="0.25">
      <c r="I16809" s="199"/>
      <c r="J16809" s="199"/>
    </row>
    <row r="16810" spans="9:10" x14ac:dyDescent="0.25">
      <c r="I16810" s="199"/>
      <c r="J16810" s="199"/>
    </row>
    <row r="16811" spans="9:10" x14ac:dyDescent="0.25">
      <c r="I16811" s="199"/>
      <c r="J16811" s="199"/>
    </row>
    <row r="16812" spans="9:10" x14ac:dyDescent="0.25">
      <c r="I16812" s="199"/>
      <c r="J16812" s="199"/>
    </row>
    <row r="16813" spans="9:10" x14ac:dyDescent="0.25">
      <c r="I16813" s="199"/>
      <c r="J16813" s="199"/>
    </row>
    <row r="16814" spans="9:10" x14ac:dyDescent="0.25">
      <c r="I16814" s="199"/>
      <c r="J16814" s="199"/>
    </row>
    <row r="16815" spans="9:10" x14ac:dyDescent="0.25">
      <c r="I16815" s="199"/>
      <c r="J16815" s="199"/>
    </row>
    <row r="16816" spans="9:10" x14ac:dyDescent="0.25">
      <c r="I16816" s="199"/>
      <c r="J16816" s="199"/>
    </row>
    <row r="16817" spans="9:10" x14ac:dyDescent="0.25">
      <c r="I16817" s="199"/>
      <c r="J16817" s="199"/>
    </row>
    <row r="16818" spans="9:10" x14ac:dyDescent="0.25">
      <c r="I16818" s="199"/>
      <c r="J16818" s="199"/>
    </row>
    <row r="16819" spans="9:10" x14ac:dyDescent="0.25">
      <c r="I16819" s="199"/>
      <c r="J16819" s="199"/>
    </row>
    <row r="16820" spans="9:10" x14ac:dyDescent="0.25">
      <c r="I16820" s="199"/>
      <c r="J16820" s="199"/>
    </row>
    <row r="16821" spans="9:10" x14ac:dyDescent="0.25">
      <c r="I16821" s="199"/>
      <c r="J16821" s="199"/>
    </row>
    <row r="16822" spans="9:10" x14ac:dyDescent="0.25">
      <c r="I16822" s="199"/>
      <c r="J16822" s="199"/>
    </row>
    <row r="16823" spans="9:10" x14ac:dyDescent="0.25">
      <c r="I16823" s="199"/>
      <c r="J16823" s="199"/>
    </row>
    <row r="16824" spans="9:10" x14ac:dyDescent="0.25">
      <c r="I16824" s="199"/>
      <c r="J16824" s="199"/>
    </row>
    <row r="16825" spans="9:10" x14ac:dyDescent="0.25">
      <c r="I16825" s="199"/>
      <c r="J16825" s="199"/>
    </row>
    <row r="16826" spans="9:10" x14ac:dyDescent="0.25">
      <c r="I16826" s="199"/>
      <c r="J16826" s="199"/>
    </row>
    <row r="16827" spans="9:10" x14ac:dyDescent="0.25">
      <c r="I16827" s="199"/>
      <c r="J16827" s="199"/>
    </row>
    <row r="16828" spans="9:10" x14ac:dyDescent="0.25">
      <c r="I16828" s="199"/>
      <c r="J16828" s="199"/>
    </row>
    <row r="16829" spans="9:10" x14ac:dyDescent="0.25">
      <c r="I16829" s="199"/>
      <c r="J16829" s="199"/>
    </row>
    <row r="16830" spans="9:10" x14ac:dyDescent="0.25">
      <c r="I16830" s="199"/>
      <c r="J16830" s="199"/>
    </row>
    <row r="16831" spans="9:10" x14ac:dyDescent="0.25">
      <c r="I16831" s="199"/>
      <c r="J16831" s="199"/>
    </row>
    <row r="16832" spans="9:10" x14ac:dyDescent="0.25">
      <c r="I16832" s="199"/>
      <c r="J16832" s="199"/>
    </row>
    <row r="16833" spans="9:10" x14ac:dyDescent="0.25">
      <c r="I16833" s="199"/>
      <c r="J16833" s="199"/>
    </row>
    <row r="16834" spans="9:10" x14ac:dyDescent="0.25">
      <c r="I16834" s="199"/>
      <c r="J16834" s="199"/>
    </row>
    <row r="16835" spans="9:10" x14ac:dyDescent="0.25">
      <c r="I16835" s="199"/>
      <c r="J16835" s="199"/>
    </row>
    <row r="16836" spans="9:10" x14ac:dyDescent="0.25">
      <c r="I16836" s="199"/>
      <c r="J16836" s="199"/>
    </row>
    <row r="16837" spans="9:10" x14ac:dyDescent="0.25">
      <c r="I16837" s="199"/>
      <c r="J16837" s="199"/>
    </row>
    <row r="16838" spans="9:10" x14ac:dyDescent="0.25">
      <c r="I16838" s="199"/>
      <c r="J16838" s="199"/>
    </row>
    <row r="16839" spans="9:10" x14ac:dyDescent="0.25">
      <c r="I16839" s="199"/>
      <c r="J16839" s="199"/>
    </row>
    <row r="16840" spans="9:10" x14ac:dyDescent="0.25">
      <c r="I16840" s="199"/>
      <c r="J16840" s="199"/>
    </row>
    <row r="16841" spans="9:10" x14ac:dyDescent="0.25">
      <c r="I16841" s="199"/>
      <c r="J16841" s="199"/>
    </row>
    <row r="16842" spans="9:10" x14ac:dyDescent="0.25">
      <c r="I16842" s="199"/>
      <c r="J16842" s="199"/>
    </row>
    <row r="16843" spans="9:10" x14ac:dyDescent="0.25">
      <c r="I16843" s="199"/>
      <c r="J16843" s="199"/>
    </row>
    <row r="16844" spans="9:10" x14ac:dyDescent="0.25">
      <c r="I16844" s="199"/>
      <c r="J16844" s="199"/>
    </row>
    <row r="16845" spans="9:10" x14ac:dyDescent="0.25">
      <c r="I16845" s="199"/>
      <c r="J16845" s="199"/>
    </row>
    <row r="16846" spans="9:10" x14ac:dyDescent="0.25">
      <c r="I16846" s="199"/>
      <c r="J16846" s="199"/>
    </row>
    <row r="16847" spans="9:10" x14ac:dyDescent="0.25">
      <c r="I16847" s="199"/>
      <c r="J16847" s="199"/>
    </row>
    <row r="16848" spans="9:10" x14ac:dyDescent="0.25">
      <c r="I16848" s="199"/>
      <c r="J16848" s="199"/>
    </row>
    <row r="16849" spans="9:10" x14ac:dyDescent="0.25">
      <c r="I16849" s="199"/>
      <c r="J16849" s="199"/>
    </row>
    <row r="16850" spans="9:10" x14ac:dyDescent="0.25">
      <c r="I16850" s="199"/>
      <c r="J16850" s="199"/>
    </row>
    <row r="16851" spans="9:10" x14ac:dyDescent="0.25">
      <c r="I16851" s="199"/>
      <c r="J16851" s="199"/>
    </row>
    <row r="16852" spans="9:10" x14ac:dyDescent="0.25">
      <c r="I16852" s="199"/>
      <c r="J16852" s="199"/>
    </row>
    <row r="16853" spans="9:10" x14ac:dyDescent="0.25">
      <c r="I16853" s="199"/>
      <c r="J16853" s="199"/>
    </row>
    <row r="16854" spans="9:10" x14ac:dyDescent="0.25">
      <c r="I16854" s="199"/>
      <c r="J16854" s="199"/>
    </row>
    <row r="16855" spans="9:10" x14ac:dyDescent="0.25">
      <c r="I16855" s="199"/>
      <c r="J16855" s="199"/>
    </row>
    <row r="16856" spans="9:10" x14ac:dyDescent="0.25">
      <c r="I16856" s="199"/>
      <c r="J16856" s="199"/>
    </row>
    <row r="16857" spans="9:10" x14ac:dyDescent="0.25">
      <c r="I16857" s="199"/>
      <c r="J16857" s="199"/>
    </row>
    <row r="16858" spans="9:10" x14ac:dyDescent="0.25">
      <c r="I16858" s="199"/>
      <c r="J16858" s="199"/>
    </row>
    <row r="16859" spans="9:10" x14ac:dyDescent="0.25">
      <c r="I16859" s="199"/>
      <c r="J16859" s="199"/>
    </row>
    <row r="16860" spans="9:10" x14ac:dyDescent="0.25">
      <c r="I16860" s="199"/>
      <c r="J16860" s="199"/>
    </row>
    <row r="16861" spans="9:10" x14ac:dyDescent="0.25">
      <c r="I16861" s="199"/>
      <c r="J16861" s="199"/>
    </row>
    <row r="16862" spans="9:10" x14ac:dyDescent="0.25">
      <c r="I16862" s="199"/>
      <c r="J16862" s="199"/>
    </row>
    <row r="16863" spans="9:10" x14ac:dyDescent="0.25">
      <c r="I16863" s="199"/>
      <c r="J16863" s="199"/>
    </row>
    <row r="16864" spans="9:10" x14ac:dyDescent="0.25">
      <c r="I16864" s="199"/>
      <c r="J16864" s="199"/>
    </row>
    <row r="16865" spans="9:10" x14ac:dyDescent="0.25">
      <c r="I16865" s="199"/>
      <c r="J16865" s="199"/>
    </row>
    <row r="16866" spans="9:10" x14ac:dyDescent="0.25">
      <c r="I16866" s="199"/>
      <c r="J16866" s="199"/>
    </row>
    <row r="16867" spans="9:10" x14ac:dyDescent="0.25">
      <c r="I16867" s="199"/>
      <c r="J16867" s="199"/>
    </row>
    <row r="16868" spans="9:10" x14ac:dyDescent="0.25">
      <c r="I16868" s="199"/>
      <c r="J16868" s="199"/>
    </row>
    <row r="16869" spans="9:10" x14ac:dyDescent="0.25">
      <c r="I16869" s="199"/>
      <c r="J16869" s="199"/>
    </row>
    <row r="16870" spans="9:10" x14ac:dyDescent="0.25">
      <c r="I16870" s="199"/>
      <c r="J16870" s="199"/>
    </row>
    <row r="16871" spans="9:10" x14ac:dyDescent="0.25">
      <c r="I16871" s="199"/>
      <c r="J16871" s="199"/>
    </row>
    <row r="16872" spans="9:10" x14ac:dyDescent="0.25">
      <c r="I16872" s="199"/>
      <c r="J16872" s="199"/>
    </row>
    <row r="16873" spans="9:10" x14ac:dyDescent="0.25">
      <c r="I16873" s="199"/>
      <c r="J16873" s="199"/>
    </row>
    <row r="16874" spans="9:10" x14ac:dyDescent="0.25">
      <c r="I16874" s="199"/>
      <c r="J16874" s="199"/>
    </row>
    <row r="16875" spans="9:10" x14ac:dyDescent="0.25">
      <c r="I16875" s="199"/>
      <c r="J16875" s="199"/>
    </row>
    <row r="16876" spans="9:10" x14ac:dyDescent="0.25">
      <c r="I16876" s="199"/>
      <c r="J16876" s="199"/>
    </row>
    <row r="16877" spans="9:10" x14ac:dyDescent="0.25">
      <c r="I16877" s="199"/>
      <c r="J16877" s="199"/>
    </row>
    <row r="16878" spans="9:10" x14ac:dyDescent="0.25">
      <c r="I16878" s="199"/>
      <c r="J16878" s="199"/>
    </row>
    <row r="16879" spans="9:10" x14ac:dyDescent="0.25">
      <c r="I16879" s="199"/>
      <c r="J16879" s="199"/>
    </row>
    <row r="16880" spans="9:10" x14ac:dyDescent="0.25">
      <c r="I16880" s="199"/>
      <c r="J16880" s="199"/>
    </row>
    <row r="16881" spans="9:10" x14ac:dyDescent="0.25">
      <c r="I16881" s="199"/>
      <c r="J16881" s="199"/>
    </row>
    <row r="16882" spans="9:10" x14ac:dyDescent="0.25">
      <c r="I16882" s="199"/>
      <c r="J16882" s="199"/>
    </row>
    <row r="16883" spans="9:10" x14ac:dyDescent="0.25">
      <c r="I16883" s="199"/>
      <c r="J16883" s="199"/>
    </row>
    <row r="16884" spans="9:10" x14ac:dyDescent="0.25">
      <c r="I16884" s="199"/>
      <c r="J16884" s="199"/>
    </row>
    <row r="16885" spans="9:10" x14ac:dyDescent="0.25">
      <c r="I16885" s="199"/>
      <c r="J16885" s="199"/>
    </row>
    <row r="16886" spans="9:10" x14ac:dyDescent="0.25">
      <c r="I16886" s="199"/>
      <c r="J16886" s="199"/>
    </row>
    <row r="16887" spans="9:10" x14ac:dyDescent="0.25">
      <c r="I16887" s="199"/>
      <c r="J16887" s="199"/>
    </row>
    <row r="16888" spans="9:10" x14ac:dyDescent="0.25">
      <c r="I16888" s="199"/>
      <c r="J16888" s="199"/>
    </row>
    <row r="16889" spans="9:10" x14ac:dyDescent="0.25">
      <c r="I16889" s="199"/>
      <c r="J16889" s="199"/>
    </row>
    <row r="16890" spans="9:10" x14ac:dyDescent="0.25">
      <c r="I16890" s="199"/>
      <c r="J16890" s="199"/>
    </row>
    <row r="16891" spans="9:10" x14ac:dyDescent="0.25">
      <c r="I16891" s="199"/>
      <c r="J16891" s="199"/>
    </row>
    <row r="16892" spans="9:10" x14ac:dyDescent="0.25">
      <c r="I16892" s="199"/>
      <c r="J16892" s="199"/>
    </row>
    <row r="16893" spans="9:10" x14ac:dyDescent="0.25">
      <c r="I16893" s="199"/>
      <c r="J16893" s="199"/>
    </row>
    <row r="16894" spans="9:10" x14ac:dyDescent="0.25">
      <c r="I16894" s="199"/>
      <c r="J16894" s="199"/>
    </row>
    <row r="16895" spans="9:10" x14ac:dyDescent="0.25">
      <c r="I16895" s="199"/>
      <c r="J16895" s="199"/>
    </row>
    <row r="16896" spans="9:10" x14ac:dyDescent="0.25">
      <c r="I16896" s="199"/>
      <c r="J16896" s="199"/>
    </row>
    <row r="16897" spans="9:10" x14ac:dyDescent="0.25">
      <c r="I16897" s="199"/>
      <c r="J16897" s="199"/>
    </row>
    <row r="16898" spans="9:10" x14ac:dyDescent="0.25">
      <c r="I16898" s="199"/>
      <c r="J16898" s="199"/>
    </row>
    <row r="16899" spans="9:10" x14ac:dyDescent="0.25">
      <c r="I16899" s="199"/>
      <c r="J16899" s="199"/>
    </row>
    <row r="16900" spans="9:10" x14ac:dyDescent="0.25">
      <c r="I16900" s="199"/>
      <c r="J16900" s="199"/>
    </row>
    <row r="16901" spans="9:10" x14ac:dyDescent="0.25">
      <c r="I16901" s="199"/>
      <c r="J16901" s="199"/>
    </row>
    <row r="16902" spans="9:10" x14ac:dyDescent="0.25">
      <c r="I16902" s="199"/>
      <c r="J16902" s="199"/>
    </row>
    <row r="16903" spans="9:10" x14ac:dyDescent="0.25">
      <c r="I16903" s="199"/>
      <c r="J16903" s="199"/>
    </row>
    <row r="16904" spans="9:10" x14ac:dyDescent="0.25">
      <c r="I16904" s="199"/>
      <c r="J16904" s="199"/>
    </row>
    <row r="16905" spans="9:10" x14ac:dyDescent="0.25">
      <c r="I16905" s="199"/>
      <c r="J16905" s="199"/>
    </row>
    <row r="16906" spans="9:10" x14ac:dyDescent="0.25">
      <c r="I16906" s="199"/>
      <c r="J16906" s="199"/>
    </row>
    <row r="16907" spans="9:10" x14ac:dyDescent="0.25">
      <c r="I16907" s="199"/>
      <c r="J16907" s="199"/>
    </row>
    <row r="16908" spans="9:10" x14ac:dyDescent="0.25">
      <c r="I16908" s="199"/>
      <c r="J16908" s="199"/>
    </row>
    <row r="16909" spans="9:10" x14ac:dyDescent="0.25">
      <c r="I16909" s="199"/>
      <c r="J16909" s="199"/>
    </row>
    <row r="16910" spans="9:10" x14ac:dyDescent="0.25">
      <c r="I16910" s="199"/>
      <c r="J16910" s="199"/>
    </row>
    <row r="16911" spans="9:10" x14ac:dyDescent="0.25">
      <c r="I16911" s="199"/>
      <c r="J16911" s="199"/>
    </row>
    <row r="16912" spans="9:10" x14ac:dyDescent="0.25">
      <c r="I16912" s="199"/>
      <c r="J16912" s="199"/>
    </row>
    <row r="16913" spans="9:10" x14ac:dyDescent="0.25">
      <c r="I16913" s="199"/>
      <c r="J16913" s="199"/>
    </row>
    <row r="16914" spans="9:10" x14ac:dyDescent="0.25">
      <c r="I16914" s="199"/>
      <c r="J16914" s="199"/>
    </row>
    <row r="16915" spans="9:10" x14ac:dyDescent="0.25">
      <c r="I16915" s="199"/>
      <c r="J16915" s="199"/>
    </row>
    <row r="16916" spans="9:10" x14ac:dyDescent="0.25">
      <c r="I16916" s="199"/>
      <c r="J16916" s="199"/>
    </row>
    <row r="16917" spans="9:10" x14ac:dyDescent="0.25">
      <c r="I16917" s="199"/>
      <c r="J16917" s="199"/>
    </row>
    <row r="16918" spans="9:10" x14ac:dyDescent="0.25">
      <c r="I16918" s="199"/>
      <c r="J16918" s="199"/>
    </row>
    <row r="16919" spans="9:10" x14ac:dyDescent="0.25">
      <c r="I16919" s="199"/>
      <c r="J16919" s="199"/>
    </row>
    <row r="16920" spans="9:10" x14ac:dyDescent="0.25">
      <c r="I16920" s="199"/>
      <c r="J16920" s="199"/>
    </row>
    <row r="16921" spans="9:10" x14ac:dyDescent="0.25">
      <c r="I16921" s="199"/>
      <c r="J16921" s="199"/>
    </row>
    <row r="16922" spans="9:10" x14ac:dyDescent="0.25">
      <c r="I16922" s="199"/>
      <c r="J16922" s="199"/>
    </row>
    <row r="16923" spans="9:10" x14ac:dyDescent="0.25">
      <c r="I16923" s="199"/>
      <c r="J16923" s="199"/>
    </row>
    <row r="16924" spans="9:10" x14ac:dyDescent="0.25">
      <c r="I16924" s="199"/>
      <c r="J16924" s="199"/>
    </row>
    <row r="16925" spans="9:10" x14ac:dyDescent="0.25">
      <c r="I16925" s="199"/>
      <c r="J16925" s="199"/>
    </row>
    <row r="16926" spans="9:10" x14ac:dyDescent="0.25">
      <c r="I16926" s="199"/>
      <c r="J16926" s="199"/>
    </row>
    <row r="16927" spans="9:10" x14ac:dyDescent="0.25">
      <c r="I16927" s="199"/>
      <c r="J16927" s="199"/>
    </row>
    <row r="16928" spans="9:10" x14ac:dyDescent="0.25">
      <c r="I16928" s="199"/>
      <c r="J16928" s="199"/>
    </row>
    <row r="16929" spans="9:10" x14ac:dyDescent="0.25">
      <c r="I16929" s="199"/>
      <c r="J16929" s="199"/>
    </row>
    <row r="16930" spans="9:10" x14ac:dyDescent="0.25">
      <c r="I16930" s="199"/>
      <c r="J16930" s="199"/>
    </row>
    <row r="16931" spans="9:10" x14ac:dyDescent="0.25">
      <c r="I16931" s="199"/>
      <c r="J16931" s="199"/>
    </row>
    <row r="16932" spans="9:10" x14ac:dyDescent="0.25">
      <c r="I16932" s="199"/>
      <c r="J16932" s="199"/>
    </row>
    <row r="16933" spans="9:10" x14ac:dyDescent="0.25">
      <c r="I16933" s="199"/>
      <c r="J16933" s="199"/>
    </row>
    <row r="16934" spans="9:10" x14ac:dyDescent="0.25">
      <c r="I16934" s="199"/>
      <c r="J16934" s="199"/>
    </row>
    <row r="16935" spans="9:10" x14ac:dyDescent="0.25">
      <c r="I16935" s="199"/>
      <c r="J16935" s="199"/>
    </row>
    <row r="16936" spans="9:10" x14ac:dyDescent="0.25">
      <c r="I16936" s="199"/>
      <c r="J16936" s="199"/>
    </row>
    <row r="16937" spans="9:10" x14ac:dyDescent="0.25">
      <c r="I16937" s="199"/>
      <c r="J16937" s="199"/>
    </row>
    <row r="16938" spans="9:10" x14ac:dyDescent="0.25">
      <c r="I16938" s="199"/>
      <c r="J16938" s="199"/>
    </row>
    <row r="16939" spans="9:10" x14ac:dyDescent="0.25">
      <c r="I16939" s="199"/>
      <c r="J16939" s="199"/>
    </row>
    <row r="16940" spans="9:10" x14ac:dyDescent="0.25">
      <c r="I16940" s="199"/>
      <c r="J16940" s="199"/>
    </row>
    <row r="16941" spans="9:10" x14ac:dyDescent="0.25">
      <c r="I16941" s="199"/>
      <c r="J16941" s="199"/>
    </row>
    <row r="16942" spans="9:10" x14ac:dyDescent="0.25">
      <c r="I16942" s="199"/>
      <c r="J16942" s="199"/>
    </row>
    <row r="16943" spans="9:10" x14ac:dyDescent="0.25">
      <c r="I16943" s="199"/>
      <c r="J16943" s="199"/>
    </row>
    <row r="16944" spans="9:10" x14ac:dyDescent="0.25">
      <c r="I16944" s="199"/>
      <c r="J16944" s="199"/>
    </row>
    <row r="16945" spans="9:10" x14ac:dyDescent="0.25">
      <c r="I16945" s="199"/>
      <c r="J16945" s="199"/>
    </row>
    <row r="16946" spans="9:10" x14ac:dyDescent="0.25">
      <c r="I16946" s="199"/>
      <c r="J16946" s="199"/>
    </row>
    <row r="16947" spans="9:10" x14ac:dyDescent="0.25">
      <c r="I16947" s="199"/>
      <c r="J16947" s="199"/>
    </row>
    <row r="16948" spans="9:10" x14ac:dyDescent="0.25">
      <c r="I16948" s="199"/>
      <c r="J16948" s="199"/>
    </row>
    <row r="16949" spans="9:10" x14ac:dyDescent="0.25">
      <c r="I16949" s="199"/>
      <c r="J16949" s="199"/>
    </row>
    <row r="16950" spans="9:10" x14ac:dyDescent="0.25">
      <c r="I16950" s="199"/>
      <c r="J16950" s="199"/>
    </row>
    <row r="16951" spans="9:10" x14ac:dyDescent="0.25">
      <c r="I16951" s="199"/>
      <c r="J16951" s="199"/>
    </row>
    <row r="16952" spans="9:10" x14ac:dyDescent="0.25">
      <c r="I16952" s="199"/>
      <c r="J16952" s="199"/>
    </row>
    <row r="16953" spans="9:10" x14ac:dyDescent="0.25">
      <c r="I16953" s="199"/>
      <c r="J16953" s="199"/>
    </row>
    <row r="16954" spans="9:10" x14ac:dyDescent="0.25">
      <c r="I16954" s="199"/>
      <c r="J16954" s="199"/>
    </row>
    <row r="16955" spans="9:10" x14ac:dyDescent="0.25">
      <c r="I16955" s="199"/>
      <c r="J16955" s="199"/>
    </row>
    <row r="16956" spans="9:10" x14ac:dyDescent="0.25">
      <c r="I16956" s="199"/>
      <c r="J16956" s="199"/>
    </row>
    <row r="16957" spans="9:10" x14ac:dyDescent="0.25">
      <c r="I16957" s="199"/>
      <c r="J16957" s="199"/>
    </row>
    <row r="16958" spans="9:10" x14ac:dyDescent="0.25">
      <c r="I16958" s="199"/>
      <c r="J16958" s="199"/>
    </row>
    <row r="16959" spans="9:10" x14ac:dyDescent="0.25">
      <c r="I16959" s="199"/>
      <c r="J16959" s="199"/>
    </row>
    <row r="16960" spans="9:10" x14ac:dyDescent="0.25">
      <c r="I16960" s="199"/>
      <c r="J16960" s="199"/>
    </row>
    <row r="16961" spans="9:10" x14ac:dyDescent="0.25">
      <c r="I16961" s="199"/>
      <c r="J16961" s="199"/>
    </row>
    <row r="16962" spans="9:10" x14ac:dyDescent="0.25">
      <c r="I16962" s="199"/>
      <c r="J16962" s="199"/>
    </row>
    <row r="16963" spans="9:10" x14ac:dyDescent="0.25">
      <c r="I16963" s="199"/>
      <c r="J16963" s="199"/>
    </row>
    <row r="16964" spans="9:10" x14ac:dyDescent="0.25">
      <c r="I16964" s="199"/>
      <c r="J16964" s="199"/>
    </row>
    <row r="16965" spans="9:10" x14ac:dyDescent="0.25">
      <c r="I16965" s="199"/>
      <c r="J16965" s="199"/>
    </row>
    <row r="16966" spans="9:10" x14ac:dyDescent="0.25">
      <c r="I16966" s="199"/>
      <c r="J16966" s="199"/>
    </row>
    <row r="16967" spans="9:10" x14ac:dyDescent="0.25">
      <c r="I16967" s="199"/>
      <c r="J16967" s="199"/>
    </row>
    <row r="16968" spans="9:10" x14ac:dyDescent="0.25">
      <c r="I16968" s="199"/>
      <c r="J16968" s="199"/>
    </row>
    <row r="16969" spans="9:10" x14ac:dyDescent="0.25">
      <c r="I16969" s="199"/>
      <c r="J16969" s="199"/>
    </row>
    <row r="16970" spans="9:10" x14ac:dyDescent="0.25">
      <c r="I16970" s="199"/>
      <c r="J16970" s="199"/>
    </row>
    <row r="16971" spans="9:10" x14ac:dyDescent="0.25">
      <c r="I16971" s="199"/>
      <c r="J16971" s="199"/>
    </row>
    <row r="16972" spans="9:10" x14ac:dyDescent="0.25">
      <c r="I16972" s="199"/>
      <c r="J16972" s="199"/>
    </row>
    <row r="16973" spans="9:10" x14ac:dyDescent="0.25">
      <c r="I16973" s="199"/>
      <c r="J16973" s="199"/>
    </row>
    <row r="16974" spans="9:10" x14ac:dyDescent="0.25">
      <c r="I16974" s="199"/>
      <c r="J16974" s="199"/>
    </row>
    <row r="16975" spans="9:10" x14ac:dyDescent="0.25">
      <c r="I16975" s="199"/>
      <c r="J16975" s="199"/>
    </row>
    <row r="16976" spans="9:10" x14ac:dyDescent="0.25">
      <c r="I16976" s="199"/>
      <c r="J16976" s="199"/>
    </row>
    <row r="16977" spans="9:10" x14ac:dyDescent="0.25">
      <c r="I16977" s="199"/>
      <c r="J16977" s="199"/>
    </row>
    <row r="16978" spans="9:10" x14ac:dyDescent="0.25">
      <c r="I16978" s="199"/>
      <c r="J16978" s="199"/>
    </row>
    <row r="16979" spans="9:10" x14ac:dyDescent="0.25">
      <c r="I16979" s="199"/>
      <c r="J16979" s="199"/>
    </row>
    <row r="16980" spans="9:10" x14ac:dyDescent="0.25">
      <c r="I16980" s="199"/>
      <c r="J16980" s="199"/>
    </row>
    <row r="16981" spans="9:10" x14ac:dyDescent="0.25">
      <c r="I16981" s="199"/>
      <c r="J16981" s="199"/>
    </row>
    <row r="16982" spans="9:10" x14ac:dyDescent="0.25">
      <c r="I16982" s="199"/>
      <c r="J16982" s="199"/>
    </row>
    <row r="16983" spans="9:10" x14ac:dyDescent="0.25">
      <c r="I16983" s="199"/>
      <c r="J16983" s="199"/>
    </row>
    <row r="16984" spans="9:10" x14ac:dyDescent="0.25">
      <c r="I16984" s="199"/>
      <c r="J16984" s="199"/>
    </row>
    <row r="16985" spans="9:10" x14ac:dyDescent="0.25">
      <c r="I16985" s="199"/>
      <c r="J16985" s="199"/>
    </row>
    <row r="16986" spans="9:10" x14ac:dyDescent="0.25">
      <c r="I16986" s="199"/>
      <c r="J16986" s="199"/>
    </row>
    <row r="16987" spans="9:10" x14ac:dyDescent="0.25">
      <c r="I16987" s="199"/>
      <c r="J16987" s="199"/>
    </row>
    <row r="16988" spans="9:10" x14ac:dyDescent="0.25">
      <c r="I16988" s="199"/>
      <c r="J16988" s="199"/>
    </row>
    <row r="16989" spans="9:10" x14ac:dyDescent="0.25">
      <c r="I16989" s="199"/>
      <c r="J16989" s="199"/>
    </row>
    <row r="16990" spans="9:10" x14ac:dyDescent="0.25">
      <c r="I16990" s="199"/>
      <c r="J16990" s="199"/>
    </row>
    <row r="16991" spans="9:10" x14ac:dyDescent="0.25">
      <c r="I16991" s="199"/>
      <c r="J16991" s="199"/>
    </row>
    <row r="16992" spans="9:10" x14ac:dyDescent="0.25">
      <c r="I16992" s="199"/>
      <c r="J16992" s="199"/>
    </row>
    <row r="16993" spans="9:10" x14ac:dyDescent="0.25">
      <c r="I16993" s="199"/>
      <c r="J16993" s="199"/>
    </row>
    <row r="16994" spans="9:10" x14ac:dyDescent="0.25">
      <c r="I16994" s="199"/>
      <c r="J16994" s="199"/>
    </row>
    <row r="16995" spans="9:10" x14ac:dyDescent="0.25">
      <c r="I16995" s="199"/>
      <c r="J16995" s="199"/>
    </row>
    <row r="16996" spans="9:10" x14ac:dyDescent="0.25">
      <c r="I16996" s="199"/>
      <c r="J16996" s="199"/>
    </row>
    <row r="16997" spans="9:10" x14ac:dyDescent="0.25">
      <c r="I16997" s="199"/>
      <c r="J16997" s="199"/>
    </row>
    <row r="16998" spans="9:10" x14ac:dyDescent="0.25">
      <c r="I16998" s="199"/>
      <c r="J16998" s="199"/>
    </row>
    <row r="16999" spans="9:10" x14ac:dyDescent="0.25">
      <c r="I16999" s="199"/>
      <c r="J16999" s="199"/>
    </row>
    <row r="17000" spans="9:10" x14ac:dyDescent="0.25">
      <c r="I17000" s="199"/>
      <c r="J17000" s="199"/>
    </row>
    <row r="17001" spans="9:10" x14ac:dyDescent="0.25">
      <c r="I17001" s="199"/>
      <c r="J17001" s="199"/>
    </row>
    <row r="17002" spans="9:10" x14ac:dyDescent="0.25">
      <c r="I17002" s="199"/>
      <c r="J17002" s="199"/>
    </row>
    <row r="17003" spans="9:10" x14ac:dyDescent="0.25">
      <c r="I17003" s="199"/>
      <c r="J17003" s="199"/>
    </row>
    <row r="17004" spans="9:10" x14ac:dyDescent="0.25">
      <c r="I17004" s="199"/>
      <c r="J17004" s="199"/>
    </row>
    <row r="17005" spans="9:10" x14ac:dyDescent="0.25">
      <c r="I17005" s="199"/>
      <c r="J17005" s="199"/>
    </row>
    <row r="17006" spans="9:10" x14ac:dyDescent="0.25">
      <c r="I17006" s="199"/>
      <c r="J17006" s="199"/>
    </row>
    <row r="17007" spans="9:10" x14ac:dyDescent="0.25">
      <c r="I17007" s="199"/>
      <c r="J17007" s="199"/>
    </row>
    <row r="17008" spans="9:10" x14ac:dyDescent="0.25">
      <c r="I17008" s="199"/>
      <c r="J17008" s="199"/>
    </row>
    <row r="17009" spans="9:10" x14ac:dyDescent="0.25">
      <c r="I17009" s="199"/>
      <c r="J17009" s="199"/>
    </row>
    <row r="17010" spans="9:10" x14ac:dyDescent="0.25">
      <c r="I17010" s="199"/>
      <c r="J17010" s="199"/>
    </row>
    <row r="17011" spans="9:10" x14ac:dyDescent="0.25">
      <c r="I17011" s="199"/>
      <c r="J17011" s="199"/>
    </row>
    <row r="17012" spans="9:10" x14ac:dyDescent="0.25">
      <c r="I17012" s="199"/>
      <c r="J17012" s="199"/>
    </row>
    <row r="17013" spans="9:10" x14ac:dyDescent="0.25">
      <c r="I17013" s="199"/>
      <c r="J17013" s="199"/>
    </row>
    <row r="17014" spans="9:10" x14ac:dyDescent="0.25">
      <c r="I17014" s="199"/>
      <c r="J17014" s="199"/>
    </row>
    <row r="17015" spans="9:10" x14ac:dyDescent="0.25">
      <c r="I17015" s="199"/>
      <c r="J17015" s="199"/>
    </row>
    <row r="17016" spans="9:10" x14ac:dyDescent="0.25">
      <c r="I17016" s="199"/>
      <c r="J17016" s="199"/>
    </row>
    <row r="17017" spans="9:10" x14ac:dyDescent="0.25">
      <c r="I17017" s="199"/>
      <c r="J17017" s="199"/>
    </row>
    <row r="17018" spans="9:10" x14ac:dyDescent="0.25">
      <c r="I17018" s="199"/>
      <c r="J17018" s="199"/>
    </row>
    <row r="17019" spans="9:10" x14ac:dyDescent="0.25">
      <c r="I17019" s="199"/>
      <c r="J17019" s="199"/>
    </row>
    <row r="17020" spans="9:10" x14ac:dyDescent="0.25">
      <c r="I17020" s="199"/>
      <c r="J17020" s="199"/>
    </row>
    <row r="17021" spans="9:10" x14ac:dyDescent="0.25">
      <c r="I17021" s="199"/>
      <c r="J17021" s="199"/>
    </row>
    <row r="17022" spans="9:10" x14ac:dyDescent="0.25">
      <c r="I17022" s="199"/>
      <c r="J17022" s="199"/>
    </row>
    <row r="17023" spans="9:10" x14ac:dyDescent="0.25">
      <c r="I17023" s="199"/>
      <c r="J17023" s="199"/>
    </row>
    <row r="17024" spans="9:10" x14ac:dyDescent="0.25">
      <c r="I17024" s="199"/>
      <c r="J17024" s="199"/>
    </row>
    <row r="17025" spans="9:10" x14ac:dyDescent="0.25">
      <c r="I17025" s="199"/>
      <c r="J17025" s="199"/>
    </row>
    <row r="17026" spans="9:10" x14ac:dyDescent="0.25">
      <c r="I17026" s="199"/>
      <c r="J17026" s="199"/>
    </row>
    <row r="17027" spans="9:10" x14ac:dyDescent="0.25">
      <c r="I17027" s="199"/>
      <c r="J17027" s="199"/>
    </row>
    <row r="17028" spans="9:10" x14ac:dyDescent="0.25">
      <c r="I17028" s="199"/>
      <c r="J17028" s="199"/>
    </row>
    <row r="17029" spans="9:10" x14ac:dyDescent="0.25">
      <c r="I17029" s="199"/>
      <c r="J17029" s="199"/>
    </row>
    <row r="17030" spans="9:10" x14ac:dyDescent="0.25">
      <c r="I17030" s="199"/>
      <c r="J17030" s="199"/>
    </row>
    <row r="17031" spans="9:10" x14ac:dyDescent="0.25">
      <c r="I17031" s="199"/>
      <c r="J17031" s="199"/>
    </row>
    <row r="17032" spans="9:10" x14ac:dyDescent="0.25">
      <c r="I17032" s="199"/>
      <c r="J17032" s="199"/>
    </row>
    <row r="17033" spans="9:10" x14ac:dyDescent="0.25">
      <c r="I17033" s="199"/>
      <c r="J17033" s="199"/>
    </row>
    <row r="17034" spans="9:10" x14ac:dyDescent="0.25">
      <c r="I17034" s="199"/>
      <c r="J17034" s="199"/>
    </row>
    <row r="17035" spans="9:10" x14ac:dyDescent="0.25">
      <c r="I17035" s="199"/>
      <c r="J17035" s="199"/>
    </row>
    <row r="17036" spans="9:10" x14ac:dyDescent="0.25">
      <c r="I17036" s="199"/>
      <c r="J17036" s="199"/>
    </row>
    <row r="17037" spans="9:10" x14ac:dyDescent="0.25">
      <c r="I17037" s="199"/>
      <c r="J17037" s="199"/>
    </row>
    <row r="17038" spans="9:10" x14ac:dyDescent="0.25">
      <c r="I17038" s="199"/>
      <c r="J17038" s="199"/>
    </row>
    <row r="17039" spans="9:10" x14ac:dyDescent="0.25">
      <c r="I17039" s="199"/>
      <c r="J17039" s="199"/>
    </row>
    <row r="17040" spans="9:10" x14ac:dyDescent="0.25">
      <c r="I17040" s="199"/>
      <c r="J17040" s="199"/>
    </row>
    <row r="17041" spans="9:10" x14ac:dyDescent="0.25">
      <c r="I17041" s="199"/>
      <c r="J17041" s="199"/>
    </row>
    <row r="17042" spans="9:10" x14ac:dyDescent="0.25">
      <c r="I17042" s="199"/>
      <c r="J17042" s="199"/>
    </row>
    <row r="17043" spans="9:10" x14ac:dyDescent="0.25">
      <c r="I17043" s="199"/>
      <c r="J17043" s="199"/>
    </row>
    <row r="17044" spans="9:10" x14ac:dyDescent="0.25">
      <c r="I17044" s="199"/>
      <c r="J17044" s="199"/>
    </row>
    <row r="17045" spans="9:10" x14ac:dyDescent="0.25">
      <c r="I17045" s="199"/>
      <c r="J17045" s="199"/>
    </row>
    <row r="17046" spans="9:10" x14ac:dyDescent="0.25">
      <c r="I17046" s="199"/>
      <c r="J17046" s="199"/>
    </row>
    <row r="17047" spans="9:10" x14ac:dyDescent="0.25">
      <c r="I17047" s="199"/>
      <c r="J17047" s="199"/>
    </row>
    <row r="17048" spans="9:10" x14ac:dyDescent="0.25">
      <c r="I17048" s="199"/>
      <c r="J17048" s="199"/>
    </row>
    <row r="17049" spans="9:10" x14ac:dyDescent="0.25">
      <c r="I17049" s="199"/>
      <c r="J17049" s="199"/>
    </row>
    <row r="17050" spans="9:10" x14ac:dyDescent="0.25">
      <c r="I17050" s="199"/>
      <c r="J17050" s="199"/>
    </row>
    <row r="17051" spans="9:10" x14ac:dyDescent="0.25">
      <c r="I17051" s="199"/>
      <c r="J17051" s="199"/>
    </row>
    <row r="17052" spans="9:10" x14ac:dyDescent="0.25">
      <c r="I17052" s="199"/>
      <c r="J17052" s="199"/>
    </row>
    <row r="17053" spans="9:10" x14ac:dyDescent="0.25">
      <c r="I17053" s="199"/>
      <c r="J17053" s="199"/>
    </row>
    <row r="17054" spans="9:10" x14ac:dyDescent="0.25">
      <c r="I17054" s="199"/>
      <c r="J17054" s="199"/>
    </row>
    <row r="17055" spans="9:10" x14ac:dyDescent="0.25">
      <c r="I17055" s="199"/>
      <c r="J17055" s="199"/>
    </row>
    <row r="17056" spans="9:10" x14ac:dyDescent="0.25">
      <c r="I17056" s="199"/>
      <c r="J17056" s="199"/>
    </row>
    <row r="17057" spans="9:10" x14ac:dyDescent="0.25">
      <c r="I17057" s="199"/>
      <c r="J17057" s="199"/>
    </row>
    <row r="17058" spans="9:10" x14ac:dyDescent="0.25">
      <c r="I17058" s="199"/>
      <c r="J17058" s="199"/>
    </row>
    <row r="17059" spans="9:10" x14ac:dyDescent="0.25">
      <c r="I17059" s="199"/>
      <c r="J17059" s="199"/>
    </row>
    <row r="17060" spans="9:10" x14ac:dyDescent="0.25">
      <c r="I17060" s="199"/>
      <c r="J17060" s="199"/>
    </row>
    <row r="17061" spans="9:10" x14ac:dyDescent="0.25">
      <c r="I17061" s="199"/>
      <c r="J17061" s="199"/>
    </row>
    <row r="17062" spans="9:10" x14ac:dyDescent="0.25">
      <c r="I17062" s="199"/>
      <c r="J17062" s="199"/>
    </row>
    <row r="17063" spans="9:10" x14ac:dyDescent="0.25">
      <c r="I17063" s="199"/>
      <c r="J17063" s="199"/>
    </row>
    <row r="17064" spans="9:10" x14ac:dyDescent="0.25">
      <c r="I17064" s="199"/>
      <c r="J17064" s="199"/>
    </row>
    <row r="17065" spans="9:10" x14ac:dyDescent="0.25">
      <c r="I17065" s="199"/>
      <c r="J17065" s="199"/>
    </row>
    <row r="17066" spans="9:10" x14ac:dyDescent="0.25">
      <c r="I17066" s="199"/>
      <c r="J17066" s="199"/>
    </row>
    <row r="17067" spans="9:10" x14ac:dyDescent="0.25">
      <c r="I17067" s="199"/>
      <c r="J17067" s="199"/>
    </row>
    <row r="17068" spans="9:10" x14ac:dyDescent="0.25">
      <c r="I17068" s="199"/>
      <c r="J17068" s="199"/>
    </row>
    <row r="17069" spans="9:10" x14ac:dyDescent="0.25">
      <c r="I17069" s="199"/>
      <c r="J17069" s="199"/>
    </row>
    <row r="17070" spans="9:10" x14ac:dyDescent="0.25">
      <c r="I17070" s="199"/>
      <c r="J17070" s="199"/>
    </row>
    <row r="17071" spans="9:10" x14ac:dyDescent="0.25">
      <c r="I17071" s="199"/>
      <c r="J17071" s="199"/>
    </row>
    <row r="17072" spans="9:10" x14ac:dyDescent="0.25">
      <c r="I17072" s="199"/>
      <c r="J17072" s="199"/>
    </row>
    <row r="17073" spans="9:10" x14ac:dyDescent="0.25">
      <c r="I17073" s="199"/>
      <c r="J17073" s="199"/>
    </row>
    <row r="17074" spans="9:10" x14ac:dyDescent="0.25">
      <c r="I17074" s="199"/>
      <c r="J17074" s="199"/>
    </row>
    <row r="17075" spans="9:10" x14ac:dyDescent="0.25">
      <c r="I17075" s="199"/>
      <c r="J17075" s="199"/>
    </row>
    <row r="17076" spans="9:10" x14ac:dyDescent="0.25">
      <c r="I17076" s="199"/>
      <c r="J17076" s="199"/>
    </row>
    <row r="17077" spans="9:10" x14ac:dyDescent="0.25">
      <c r="I17077" s="199"/>
      <c r="J17077" s="199"/>
    </row>
    <row r="17078" spans="9:10" x14ac:dyDescent="0.25">
      <c r="I17078" s="199"/>
      <c r="J17078" s="199"/>
    </row>
    <row r="17079" spans="9:10" x14ac:dyDescent="0.25">
      <c r="I17079" s="199"/>
      <c r="J17079" s="199"/>
    </row>
    <row r="17080" spans="9:10" x14ac:dyDescent="0.25">
      <c r="I17080" s="199"/>
      <c r="J17080" s="199"/>
    </row>
    <row r="17081" spans="9:10" x14ac:dyDescent="0.25">
      <c r="I17081" s="199"/>
      <c r="J17081" s="199"/>
    </row>
    <row r="17082" spans="9:10" x14ac:dyDescent="0.25">
      <c r="I17082" s="199"/>
      <c r="J17082" s="199"/>
    </row>
    <row r="17083" spans="9:10" x14ac:dyDescent="0.25">
      <c r="I17083" s="199"/>
      <c r="J17083" s="199"/>
    </row>
    <row r="17084" spans="9:10" x14ac:dyDescent="0.25">
      <c r="I17084" s="199"/>
      <c r="J17084" s="199"/>
    </row>
    <row r="17085" spans="9:10" x14ac:dyDescent="0.25">
      <c r="I17085" s="199"/>
      <c r="J17085" s="199"/>
    </row>
    <row r="17086" spans="9:10" x14ac:dyDescent="0.25">
      <c r="I17086" s="199"/>
      <c r="J17086" s="199"/>
    </row>
    <row r="17087" spans="9:10" x14ac:dyDescent="0.25">
      <c r="I17087" s="199"/>
      <c r="J17087" s="199"/>
    </row>
    <row r="17088" spans="9:10" x14ac:dyDescent="0.25">
      <c r="I17088" s="199"/>
      <c r="J17088" s="199"/>
    </row>
    <row r="17089" spans="9:10" x14ac:dyDescent="0.25">
      <c r="I17089" s="199"/>
      <c r="J17089" s="199"/>
    </row>
    <row r="17090" spans="9:10" x14ac:dyDescent="0.25">
      <c r="I17090" s="199"/>
      <c r="J17090" s="199"/>
    </row>
    <row r="17091" spans="9:10" x14ac:dyDescent="0.25">
      <c r="I17091" s="199"/>
      <c r="J17091" s="199"/>
    </row>
    <row r="17092" spans="9:10" x14ac:dyDescent="0.25">
      <c r="I17092" s="199"/>
      <c r="J17092" s="199"/>
    </row>
    <row r="17093" spans="9:10" x14ac:dyDescent="0.25">
      <c r="I17093" s="199"/>
      <c r="J17093" s="199"/>
    </row>
    <row r="17094" spans="9:10" x14ac:dyDescent="0.25">
      <c r="I17094" s="199"/>
      <c r="J17094" s="199"/>
    </row>
    <row r="17095" spans="9:10" x14ac:dyDescent="0.25">
      <c r="I17095" s="199"/>
      <c r="J17095" s="199"/>
    </row>
    <row r="17096" spans="9:10" x14ac:dyDescent="0.25">
      <c r="I17096" s="199"/>
      <c r="J17096" s="199"/>
    </row>
    <row r="17097" spans="9:10" x14ac:dyDescent="0.25">
      <c r="I17097" s="199"/>
      <c r="J17097" s="199"/>
    </row>
    <row r="17098" spans="9:10" x14ac:dyDescent="0.25">
      <c r="I17098" s="199"/>
      <c r="J17098" s="199"/>
    </row>
    <row r="17099" spans="9:10" x14ac:dyDescent="0.25">
      <c r="I17099" s="199"/>
      <c r="J17099" s="199"/>
    </row>
    <row r="17100" spans="9:10" x14ac:dyDescent="0.25">
      <c r="I17100" s="199"/>
      <c r="J17100" s="199"/>
    </row>
    <row r="17101" spans="9:10" x14ac:dyDescent="0.25">
      <c r="I17101" s="199"/>
      <c r="J17101" s="199"/>
    </row>
    <row r="17102" spans="9:10" x14ac:dyDescent="0.25">
      <c r="I17102" s="199"/>
      <c r="J17102" s="199"/>
    </row>
    <row r="17103" spans="9:10" x14ac:dyDescent="0.25">
      <c r="I17103" s="199"/>
      <c r="J17103" s="199"/>
    </row>
    <row r="17104" spans="9:10" x14ac:dyDescent="0.25">
      <c r="I17104" s="199"/>
      <c r="J17104" s="199"/>
    </row>
    <row r="17105" spans="9:10" x14ac:dyDescent="0.25">
      <c r="I17105" s="199"/>
      <c r="J17105" s="199"/>
    </row>
    <row r="17106" spans="9:10" x14ac:dyDescent="0.25">
      <c r="I17106" s="199"/>
      <c r="J17106" s="199"/>
    </row>
    <row r="17107" spans="9:10" x14ac:dyDescent="0.25">
      <c r="I17107" s="199"/>
      <c r="J17107" s="199"/>
    </row>
    <row r="17108" spans="9:10" x14ac:dyDescent="0.25">
      <c r="I17108" s="199"/>
      <c r="J17108" s="199"/>
    </row>
    <row r="17109" spans="9:10" x14ac:dyDescent="0.25">
      <c r="I17109" s="199"/>
      <c r="J17109" s="199"/>
    </row>
    <row r="17110" spans="9:10" x14ac:dyDescent="0.25">
      <c r="I17110" s="199"/>
      <c r="J17110" s="199"/>
    </row>
    <row r="17111" spans="9:10" x14ac:dyDescent="0.25">
      <c r="I17111" s="199"/>
      <c r="J17111" s="199"/>
    </row>
    <row r="17112" spans="9:10" x14ac:dyDescent="0.25">
      <c r="I17112" s="199"/>
      <c r="J17112" s="199"/>
    </row>
    <row r="17113" spans="9:10" x14ac:dyDescent="0.25">
      <c r="I17113" s="199"/>
      <c r="J17113" s="199"/>
    </row>
    <row r="17114" spans="9:10" x14ac:dyDescent="0.25">
      <c r="I17114" s="199"/>
      <c r="J17114" s="199"/>
    </row>
    <row r="17115" spans="9:10" x14ac:dyDescent="0.25">
      <c r="I17115" s="199"/>
      <c r="J17115" s="199"/>
    </row>
    <row r="17116" spans="9:10" x14ac:dyDescent="0.25">
      <c r="I17116" s="199"/>
      <c r="J17116" s="199"/>
    </row>
    <row r="17117" spans="9:10" x14ac:dyDescent="0.25">
      <c r="I17117" s="199"/>
      <c r="J17117" s="199"/>
    </row>
    <row r="17118" spans="9:10" x14ac:dyDescent="0.25">
      <c r="I17118" s="199"/>
      <c r="J17118" s="199"/>
    </row>
    <row r="17119" spans="9:10" x14ac:dyDescent="0.25">
      <c r="I17119" s="199"/>
      <c r="J17119" s="199"/>
    </row>
    <row r="17120" spans="9:10" x14ac:dyDescent="0.25">
      <c r="I17120" s="199"/>
      <c r="J17120" s="199"/>
    </row>
    <row r="17121" spans="9:10" x14ac:dyDescent="0.25">
      <c r="I17121" s="199"/>
      <c r="J17121" s="199"/>
    </row>
    <row r="17122" spans="9:10" x14ac:dyDescent="0.25">
      <c r="I17122" s="199"/>
      <c r="J17122" s="199"/>
    </row>
    <row r="17123" spans="9:10" x14ac:dyDescent="0.25">
      <c r="I17123" s="199"/>
      <c r="J17123" s="199"/>
    </row>
    <row r="17124" spans="9:10" x14ac:dyDescent="0.25">
      <c r="I17124" s="199"/>
      <c r="J17124" s="199"/>
    </row>
    <row r="17125" spans="9:10" x14ac:dyDescent="0.25">
      <c r="I17125" s="199"/>
      <c r="J17125" s="199"/>
    </row>
    <row r="17126" spans="9:10" x14ac:dyDescent="0.25">
      <c r="I17126" s="199"/>
      <c r="J17126" s="199"/>
    </row>
    <row r="17127" spans="9:10" x14ac:dyDescent="0.25">
      <c r="I17127" s="199"/>
      <c r="J17127" s="199"/>
    </row>
    <row r="17128" spans="9:10" x14ac:dyDescent="0.25">
      <c r="I17128" s="199"/>
      <c r="J17128" s="199"/>
    </row>
    <row r="17129" spans="9:10" x14ac:dyDescent="0.25">
      <c r="I17129" s="199"/>
      <c r="J17129" s="199"/>
    </row>
    <row r="17130" spans="9:10" x14ac:dyDescent="0.25">
      <c r="I17130" s="199"/>
      <c r="J17130" s="199"/>
    </row>
    <row r="17131" spans="9:10" x14ac:dyDescent="0.25">
      <c r="I17131" s="199"/>
      <c r="J17131" s="199"/>
    </row>
    <row r="17132" spans="9:10" x14ac:dyDescent="0.25">
      <c r="I17132" s="199"/>
      <c r="J17132" s="199"/>
    </row>
    <row r="17133" spans="9:10" x14ac:dyDescent="0.25">
      <c r="I17133" s="199"/>
      <c r="J17133" s="199"/>
    </row>
    <row r="17134" spans="9:10" x14ac:dyDescent="0.25">
      <c r="I17134" s="199"/>
      <c r="J17134" s="199"/>
    </row>
    <row r="17135" spans="9:10" x14ac:dyDescent="0.25">
      <c r="I17135" s="199"/>
      <c r="J17135" s="199"/>
    </row>
    <row r="17136" spans="9:10" x14ac:dyDescent="0.25">
      <c r="I17136" s="199"/>
      <c r="J17136" s="199"/>
    </row>
    <row r="17137" spans="9:10" x14ac:dyDescent="0.25">
      <c r="I17137" s="199"/>
      <c r="J17137" s="199"/>
    </row>
    <row r="17138" spans="9:10" x14ac:dyDescent="0.25">
      <c r="I17138" s="199"/>
      <c r="J17138" s="199"/>
    </row>
    <row r="17139" spans="9:10" x14ac:dyDescent="0.25">
      <c r="I17139" s="199"/>
      <c r="J17139" s="199"/>
    </row>
    <row r="17140" spans="9:10" x14ac:dyDescent="0.25">
      <c r="I17140" s="199"/>
      <c r="J17140" s="199"/>
    </row>
    <row r="17141" spans="9:10" x14ac:dyDescent="0.25">
      <c r="I17141" s="199"/>
      <c r="J17141" s="199"/>
    </row>
    <row r="17142" spans="9:10" x14ac:dyDescent="0.25">
      <c r="I17142" s="199"/>
      <c r="J17142" s="199"/>
    </row>
    <row r="17143" spans="9:10" x14ac:dyDescent="0.25">
      <c r="I17143" s="199"/>
      <c r="J17143" s="199"/>
    </row>
    <row r="17144" spans="9:10" x14ac:dyDescent="0.25">
      <c r="I17144" s="199"/>
      <c r="J17144" s="199"/>
    </row>
    <row r="17145" spans="9:10" x14ac:dyDescent="0.25">
      <c r="I17145" s="199"/>
      <c r="J17145" s="199"/>
    </row>
    <row r="17146" spans="9:10" x14ac:dyDescent="0.25">
      <c r="I17146" s="199"/>
      <c r="J17146" s="199"/>
    </row>
    <row r="17147" spans="9:10" x14ac:dyDescent="0.25">
      <c r="I17147" s="199"/>
      <c r="J17147" s="199"/>
    </row>
    <row r="17148" spans="9:10" x14ac:dyDescent="0.25">
      <c r="I17148" s="199"/>
      <c r="J17148" s="199"/>
    </row>
    <row r="17149" spans="9:10" x14ac:dyDescent="0.25">
      <c r="I17149" s="199"/>
      <c r="J17149" s="199"/>
    </row>
    <row r="17150" spans="9:10" x14ac:dyDescent="0.25">
      <c r="I17150" s="199"/>
      <c r="J17150" s="199"/>
    </row>
    <row r="17151" spans="9:10" x14ac:dyDescent="0.25">
      <c r="I17151" s="199"/>
      <c r="J17151" s="199"/>
    </row>
    <row r="17152" spans="9:10" x14ac:dyDescent="0.25">
      <c r="I17152" s="199"/>
      <c r="J17152" s="199"/>
    </row>
    <row r="17153" spans="9:10" x14ac:dyDescent="0.25">
      <c r="I17153" s="199"/>
      <c r="J17153" s="199"/>
    </row>
    <row r="17154" spans="9:10" x14ac:dyDescent="0.25">
      <c r="I17154" s="199"/>
      <c r="J17154" s="199"/>
    </row>
    <row r="17155" spans="9:10" x14ac:dyDescent="0.25">
      <c r="I17155" s="199"/>
      <c r="J17155" s="199"/>
    </row>
    <row r="17156" spans="9:10" x14ac:dyDescent="0.25">
      <c r="I17156" s="199"/>
      <c r="J17156" s="199"/>
    </row>
    <row r="17157" spans="9:10" x14ac:dyDescent="0.25">
      <c r="I17157" s="199"/>
      <c r="J17157" s="199"/>
    </row>
    <row r="17158" spans="9:10" x14ac:dyDescent="0.25">
      <c r="I17158" s="199"/>
      <c r="J17158" s="199"/>
    </row>
    <row r="17159" spans="9:10" x14ac:dyDescent="0.25">
      <c r="I17159" s="199"/>
      <c r="J17159" s="199"/>
    </row>
    <row r="17160" spans="9:10" x14ac:dyDescent="0.25">
      <c r="I17160" s="199"/>
      <c r="J17160" s="199"/>
    </row>
    <row r="17161" spans="9:10" x14ac:dyDescent="0.25">
      <c r="I17161" s="199"/>
      <c r="J17161" s="199"/>
    </row>
    <row r="17162" spans="9:10" x14ac:dyDescent="0.25">
      <c r="I17162" s="199"/>
      <c r="J17162" s="199"/>
    </row>
    <row r="17163" spans="9:10" x14ac:dyDescent="0.25">
      <c r="I17163" s="199"/>
      <c r="J17163" s="199"/>
    </row>
    <row r="17164" spans="9:10" x14ac:dyDescent="0.25">
      <c r="I17164" s="199"/>
      <c r="J17164" s="199"/>
    </row>
    <row r="17165" spans="9:10" x14ac:dyDescent="0.25">
      <c r="I17165" s="199"/>
      <c r="J17165" s="199"/>
    </row>
    <row r="17166" spans="9:10" x14ac:dyDescent="0.25">
      <c r="I17166" s="199"/>
      <c r="J17166" s="199"/>
    </row>
    <row r="17167" spans="9:10" x14ac:dyDescent="0.25">
      <c r="I17167" s="199"/>
      <c r="J17167" s="199"/>
    </row>
    <row r="17168" spans="9:10" x14ac:dyDescent="0.25">
      <c r="I17168" s="199"/>
      <c r="J17168" s="199"/>
    </row>
    <row r="17169" spans="9:10" x14ac:dyDescent="0.25">
      <c r="I17169" s="199"/>
      <c r="J17169" s="199"/>
    </row>
    <row r="17170" spans="9:10" x14ac:dyDescent="0.25">
      <c r="I17170" s="199"/>
      <c r="J17170" s="199"/>
    </row>
    <row r="17171" spans="9:10" x14ac:dyDescent="0.25">
      <c r="I17171" s="199"/>
      <c r="J17171" s="199"/>
    </row>
    <row r="17172" spans="9:10" x14ac:dyDescent="0.25">
      <c r="I17172" s="199"/>
      <c r="J17172" s="199"/>
    </row>
    <row r="17173" spans="9:10" x14ac:dyDescent="0.25">
      <c r="I17173" s="199"/>
      <c r="J17173" s="199"/>
    </row>
    <row r="17174" spans="9:10" x14ac:dyDescent="0.25">
      <c r="I17174" s="199"/>
      <c r="J17174" s="199"/>
    </row>
    <row r="17175" spans="9:10" x14ac:dyDescent="0.25">
      <c r="I17175" s="199"/>
      <c r="J17175" s="199"/>
    </row>
    <row r="17176" spans="9:10" x14ac:dyDescent="0.25">
      <c r="I17176" s="199"/>
      <c r="J17176" s="199"/>
    </row>
    <row r="17177" spans="9:10" x14ac:dyDescent="0.25">
      <c r="I17177" s="199"/>
      <c r="J17177" s="199"/>
    </row>
    <row r="17178" spans="9:10" x14ac:dyDescent="0.25">
      <c r="I17178" s="199"/>
      <c r="J17178" s="199"/>
    </row>
    <row r="17179" spans="9:10" x14ac:dyDescent="0.25">
      <c r="I17179" s="199"/>
      <c r="J17179" s="199"/>
    </row>
    <row r="17180" spans="9:10" x14ac:dyDescent="0.25">
      <c r="I17180" s="199"/>
      <c r="J17180" s="199"/>
    </row>
    <row r="17181" spans="9:10" x14ac:dyDescent="0.25">
      <c r="I17181" s="199"/>
      <c r="J17181" s="199"/>
    </row>
    <row r="17182" spans="9:10" x14ac:dyDescent="0.25">
      <c r="I17182" s="199"/>
      <c r="J17182" s="199"/>
    </row>
    <row r="17183" spans="9:10" x14ac:dyDescent="0.25">
      <c r="I17183" s="199"/>
      <c r="J17183" s="199"/>
    </row>
    <row r="17184" spans="9:10" x14ac:dyDescent="0.25">
      <c r="I17184" s="199"/>
      <c r="J17184" s="199"/>
    </row>
    <row r="17185" spans="9:10" x14ac:dyDescent="0.25">
      <c r="I17185" s="199"/>
      <c r="J17185" s="199"/>
    </row>
    <row r="17186" spans="9:10" x14ac:dyDescent="0.25">
      <c r="I17186" s="199"/>
      <c r="J17186" s="199"/>
    </row>
    <row r="17187" spans="9:10" x14ac:dyDescent="0.25">
      <c r="I17187" s="199"/>
      <c r="J17187" s="199"/>
    </row>
    <row r="17188" spans="9:10" x14ac:dyDescent="0.25">
      <c r="I17188" s="199"/>
      <c r="J17188" s="199"/>
    </row>
    <row r="17189" spans="9:10" x14ac:dyDescent="0.25">
      <c r="I17189" s="199"/>
      <c r="J17189" s="199"/>
    </row>
    <row r="17190" spans="9:10" x14ac:dyDescent="0.25">
      <c r="I17190" s="199"/>
      <c r="J17190" s="199"/>
    </row>
    <row r="17191" spans="9:10" x14ac:dyDescent="0.25">
      <c r="I17191" s="199"/>
      <c r="J17191" s="199"/>
    </row>
    <row r="17192" spans="9:10" x14ac:dyDescent="0.25">
      <c r="I17192" s="199"/>
      <c r="J17192" s="199"/>
    </row>
    <row r="17193" spans="9:10" x14ac:dyDescent="0.25">
      <c r="I17193" s="199"/>
      <c r="J17193" s="199"/>
    </row>
    <row r="17194" spans="9:10" x14ac:dyDescent="0.25">
      <c r="I17194" s="199"/>
      <c r="J17194" s="199"/>
    </row>
    <row r="17195" spans="9:10" x14ac:dyDescent="0.25">
      <c r="I17195" s="199"/>
      <c r="J17195" s="199"/>
    </row>
    <row r="17196" spans="9:10" x14ac:dyDescent="0.25">
      <c r="I17196" s="199"/>
      <c r="J17196" s="199"/>
    </row>
    <row r="17197" spans="9:10" x14ac:dyDescent="0.25">
      <c r="I17197" s="199"/>
      <c r="J17197" s="199"/>
    </row>
    <row r="17198" spans="9:10" x14ac:dyDescent="0.25">
      <c r="I17198" s="199"/>
      <c r="J17198" s="199"/>
    </row>
    <row r="17199" spans="9:10" x14ac:dyDescent="0.25">
      <c r="I17199" s="199"/>
      <c r="J17199" s="199"/>
    </row>
    <row r="17200" spans="9:10" x14ac:dyDescent="0.25">
      <c r="I17200" s="199"/>
      <c r="J17200" s="199"/>
    </row>
    <row r="17201" spans="9:10" x14ac:dyDescent="0.25">
      <c r="I17201" s="199"/>
      <c r="J17201" s="199"/>
    </row>
    <row r="17202" spans="9:10" x14ac:dyDescent="0.25">
      <c r="I17202" s="199"/>
      <c r="J17202" s="199"/>
    </row>
    <row r="17203" spans="9:10" x14ac:dyDescent="0.25">
      <c r="I17203" s="199"/>
      <c r="J17203" s="199"/>
    </row>
    <row r="17204" spans="9:10" x14ac:dyDescent="0.25">
      <c r="I17204" s="199"/>
      <c r="J17204" s="199"/>
    </row>
    <row r="17205" spans="9:10" x14ac:dyDescent="0.25">
      <c r="I17205" s="199"/>
      <c r="J17205" s="199"/>
    </row>
    <row r="17206" spans="9:10" x14ac:dyDescent="0.25">
      <c r="I17206" s="199"/>
      <c r="J17206" s="199"/>
    </row>
    <row r="17207" spans="9:10" x14ac:dyDescent="0.25">
      <c r="I17207" s="199"/>
      <c r="J17207" s="199"/>
    </row>
    <row r="17208" spans="9:10" x14ac:dyDescent="0.25">
      <c r="I17208" s="199"/>
      <c r="J17208" s="199"/>
    </row>
    <row r="17209" spans="9:10" x14ac:dyDescent="0.25">
      <c r="I17209" s="199"/>
      <c r="J17209" s="199"/>
    </row>
    <row r="17210" spans="9:10" x14ac:dyDescent="0.25">
      <c r="I17210" s="199"/>
      <c r="J17210" s="199"/>
    </row>
    <row r="17211" spans="9:10" x14ac:dyDescent="0.25">
      <c r="I17211" s="199"/>
      <c r="J17211" s="199"/>
    </row>
    <row r="17212" spans="9:10" x14ac:dyDescent="0.25">
      <c r="I17212" s="199"/>
      <c r="J17212" s="199"/>
    </row>
    <row r="17213" spans="9:10" x14ac:dyDescent="0.25">
      <c r="I17213" s="199"/>
      <c r="J17213" s="199"/>
    </row>
    <row r="17214" spans="9:10" x14ac:dyDescent="0.25">
      <c r="I17214" s="199"/>
      <c r="J17214" s="199"/>
    </row>
    <row r="17215" spans="9:10" x14ac:dyDescent="0.25">
      <c r="I17215" s="199"/>
      <c r="J17215" s="199"/>
    </row>
    <row r="17216" spans="9:10" x14ac:dyDescent="0.25">
      <c r="I17216" s="199"/>
      <c r="J17216" s="199"/>
    </row>
    <row r="17217" spans="9:10" x14ac:dyDescent="0.25">
      <c r="I17217" s="199"/>
      <c r="J17217" s="199"/>
    </row>
    <row r="17218" spans="9:10" x14ac:dyDescent="0.25">
      <c r="I17218" s="199"/>
      <c r="J17218" s="199"/>
    </row>
    <row r="17219" spans="9:10" x14ac:dyDescent="0.25">
      <c r="I17219" s="199"/>
      <c r="J17219" s="199"/>
    </row>
    <row r="17220" spans="9:10" x14ac:dyDescent="0.25">
      <c r="I17220" s="199"/>
      <c r="J17220" s="199"/>
    </row>
    <row r="17221" spans="9:10" x14ac:dyDescent="0.25">
      <c r="I17221" s="199"/>
      <c r="J17221" s="199"/>
    </row>
    <row r="17222" spans="9:10" x14ac:dyDescent="0.25">
      <c r="I17222" s="199"/>
      <c r="J17222" s="199"/>
    </row>
    <row r="17223" spans="9:10" x14ac:dyDescent="0.25">
      <c r="I17223" s="199"/>
      <c r="J17223" s="199"/>
    </row>
    <row r="17224" spans="9:10" x14ac:dyDescent="0.25">
      <c r="I17224" s="199"/>
      <c r="J17224" s="199"/>
    </row>
    <row r="17225" spans="9:10" x14ac:dyDescent="0.25">
      <c r="I17225" s="199"/>
      <c r="J17225" s="199"/>
    </row>
    <row r="17226" spans="9:10" x14ac:dyDescent="0.25">
      <c r="I17226" s="199"/>
      <c r="J17226" s="199"/>
    </row>
    <row r="17227" spans="9:10" x14ac:dyDescent="0.25">
      <c r="I17227" s="199"/>
      <c r="J17227" s="199"/>
    </row>
    <row r="17228" spans="9:10" x14ac:dyDescent="0.25">
      <c r="I17228" s="199"/>
      <c r="J17228" s="199"/>
    </row>
    <row r="17229" spans="9:10" x14ac:dyDescent="0.25">
      <c r="I17229" s="199"/>
      <c r="J17229" s="199"/>
    </row>
    <row r="17230" spans="9:10" x14ac:dyDescent="0.25">
      <c r="I17230" s="199"/>
      <c r="J17230" s="199"/>
    </row>
    <row r="17231" spans="9:10" x14ac:dyDescent="0.25">
      <c r="I17231" s="199"/>
      <c r="J17231" s="199"/>
    </row>
    <row r="17232" spans="9:10" x14ac:dyDescent="0.25">
      <c r="I17232" s="199"/>
      <c r="J17232" s="199"/>
    </row>
    <row r="17233" spans="9:10" x14ac:dyDescent="0.25">
      <c r="I17233" s="199"/>
      <c r="J17233" s="199"/>
    </row>
    <row r="17234" spans="9:10" x14ac:dyDescent="0.25">
      <c r="I17234" s="199"/>
      <c r="J17234" s="199"/>
    </row>
    <row r="17235" spans="9:10" x14ac:dyDescent="0.25">
      <c r="I17235" s="199"/>
      <c r="J17235" s="199"/>
    </row>
    <row r="17236" spans="9:10" x14ac:dyDescent="0.25">
      <c r="I17236" s="199"/>
      <c r="J17236" s="199"/>
    </row>
    <row r="17237" spans="9:10" x14ac:dyDescent="0.25">
      <c r="I17237" s="199"/>
      <c r="J17237" s="199"/>
    </row>
    <row r="17238" spans="9:10" x14ac:dyDescent="0.25">
      <c r="I17238" s="199"/>
      <c r="J17238" s="199"/>
    </row>
    <row r="17239" spans="9:10" x14ac:dyDescent="0.25">
      <c r="I17239" s="199"/>
      <c r="J17239" s="199"/>
    </row>
    <row r="17240" spans="9:10" x14ac:dyDescent="0.25">
      <c r="I17240" s="199"/>
      <c r="J17240" s="199"/>
    </row>
    <row r="17241" spans="9:10" x14ac:dyDescent="0.25">
      <c r="I17241" s="199"/>
      <c r="J17241" s="199"/>
    </row>
    <row r="17242" spans="9:10" x14ac:dyDescent="0.25">
      <c r="I17242" s="199"/>
      <c r="J17242" s="199"/>
    </row>
    <row r="17243" spans="9:10" x14ac:dyDescent="0.25">
      <c r="I17243" s="199"/>
      <c r="J17243" s="199"/>
    </row>
    <row r="17244" spans="9:10" x14ac:dyDescent="0.25">
      <c r="I17244" s="199"/>
      <c r="J17244" s="199"/>
    </row>
    <row r="17245" spans="9:10" x14ac:dyDescent="0.25">
      <c r="I17245" s="199"/>
      <c r="J17245" s="199"/>
    </row>
    <row r="17246" spans="9:10" x14ac:dyDescent="0.25">
      <c r="I17246" s="199"/>
      <c r="J17246" s="199"/>
    </row>
    <row r="17247" spans="9:10" x14ac:dyDescent="0.25">
      <c r="I17247" s="199"/>
      <c r="J17247" s="199"/>
    </row>
    <row r="17248" spans="9:10" x14ac:dyDescent="0.25">
      <c r="I17248" s="199"/>
      <c r="J17248" s="199"/>
    </row>
    <row r="17249" spans="9:10" x14ac:dyDescent="0.25">
      <c r="I17249" s="199"/>
      <c r="J17249" s="199"/>
    </row>
    <row r="17250" spans="9:10" x14ac:dyDescent="0.25">
      <c r="I17250" s="199"/>
      <c r="J17250" s="199"/>
    </row>
    <row r="17251" spans="9:10" x14ac:dyDescent="0.25">
      <c r="I17251" s="199"/>
      <c r="J17251" s="199"/>
    </row>
    <row r="17252" spans="9:10" x14ac:dyDescent="0.25">
      <c r="I17252" s="199"/>
      <c r="J17252" s="199"/>
    </row>
    <row r="17253" spans="9:10" x14ac:dyDescent="0.25">
      <c r="I17253" s="199"/>
      <c r="J17253" s="199"/>
    </row>
    <row r="17254" spans="9:10" x14ac:dyDescent="0.25">
      <c r="I17254" s="199"/>
      <c r="J17254" s="199"/>
    </row>
    <row r="17255" spans="9:10" x14ac:dyDescent="0.25">
      <c r="I17255" s="199"/>
      <c r="J17255" s="199"/>
    </row>
    <row r="17256" spans="9:10" x14ac:dyDescent="0.25">
      <c r="I17256" s="199"/>
      <c r="J17256" s="199"/>
    </row>
    <row r="17257" spans="9:10" x14ac:dyDescent="0.25">
      <c r="I17257" s="199"/>
      <c r="J17257" s="199"/>
    </row>
    <row r="17258" spans="9:10" x14ac:dyDescent="0.25">
      <c r="I17258" s="199"/>
      <c r="J17258" s="199"/>
    </row>
    <row r="17259" spans="9:10" x14ac:dyDescent="0.25">
      <c r="I17259" s="199"/>
      <c r="J17259" s="199"/>
    </row>
    <row r="17260" spans="9:10" x14ac:dyDescent="0.25">
      <c r="I17260" s="199"/>
      <c r="J17260" s="199"/>
    </row>
    <row r="17261" spans="9:10" x14ac:dyDescent="0.25">
      <c r="I17261" s="199"/>
      <c r="J17261" s="199"/>
    </row>
    <row r="17262" spans="9:10" x14ac:dyDescent="0.25">
      <c r="I17262" s="199"/>
      <c r="J17262" s="199"/>
    </row>
    <row r="17263" spans="9:10" x14ac:dyDescent="0.25">
      <c r="I17263" s="199"/>
      <c r="J17263" s="199"/>
    </row>
    <row r="17264" spans="9:10" x14ac:dyDescent="0.25">
      <c r="I17264" s="199"/>
      <c r="J17264" s="199"/>
    </row>
    <row r="17265" spans="9:10" x14ac:dyDescent="0.25">
      <c r="I17265" s="199"/>
      <c r="J17265" s="199"/>
    </row>
    <row r="17266" spans="9:10" x14ac:dyDescent="0.25">
      <c r="I17266" s="199"/>
      <c r="J17266" s="199"/>
    </row>
    <row r="17267" spans="9:10" x14ac:dyDescent="0.25">
      <c r="I17267" s="199"/>
      <c r="J17267" s="199"/>
    </row>
    <row r="17268" spans="9:10" x14ac:dyDescent="0.25">
      <c r="I17268" s="199"/>
      <c r="J17268" s="199"/>
    </row>
    <row r="17269" spans="9:10" x14ac:dyDescent="0.25">
      <c r="I17269" s="199"/>
      <c r="J17269" s="199"/>
    </row>
    <row r="17270" spans="9:10" x14ac:dyDescent="0.25">
      <c r="I17270" s="199"/>
      <c r="J17270" s="199"/>
    </row>
    <row r="17271" spans="9:10" x14ac:dyDescent="0.25">
      <c r="I17271" s="199"/>
      <c r="J17271" s="199"/>
    </row>
    <row r="17272" spans="9:10" x14ac:dyDescent="0.25">
      <c r="I17272" s="199"/>
      <c r="J17272" s="199"/>
    </row>
    <row r="17273" spans="9:10" x14ac:dyDescent="0.25">
      <c r="I17273" s="199"/>
      <c r="J17273" s="199"/>
    </row>
    <row r="17274" spans="9:10" x14ac:dyDescent="0.25">
      <c r="I17274" s="199"/>
      <c r="J17274" s="199"/>
    </row>
    <row r="17275" spans="9:10" x14ac:dyDescent="0.25">
      <c r="I17275" s="199"/>
      <c r="J17275" s="199"/>
    </row>
    <row r="17276" spans="9:10" x14ac:dyDescent="0.25">
      <c r="I17276" s="199"/>
      <c r="J17276" s="199"/>
    </row>
    <row r="17277" spans="9:10" x14ac:dyDescent="0.25">
      <c r="I17277" s="199"/>
      <c r="J17277" s="199"/>
    </row>
    <row r="17278" spans="9:10" x14ac:dyDescent="0.25">
      <c r="I17278" s="199"/>
      <c r="J17278" s="199"/>
    </row>
    <row r="17279" spans="9:10" x14ac:dyDescent="0.25">
      <c r="I17279" s="199"/>
      <c r="J17279" s="199"/>
    </row>
    <row r="17280" spans="9:10" x14ac:dyDescent="0.25">
      <c r="I17280" s="199"/>
      <c r="J17280" s="199"/>
    </row>
    <row r="17281" spans="9:10" x14ac:dyDescent="0.25">
      <c r="I17281" s="199"/>
      <c r="J17281" s="199"/>
    </row>
    <row r="17282" spans="9:10" x14ac:dyDescent="0.25">
      <c r="I17282" s="199"/>
      <c r="J17282" s="199"/>
    </row>
    <row r="17283" spans="9:10" x14ac:dyDescent="0.25">
      <c r="I17283" s="199"/>
      <c r="J17283" s="199"/>
    </row>
    <row r="17284" spans="9:10" x14ac:dyDescent="0.25">
      <c r="I17284" s="199"/>
      <c r="J17284" s="199"/>
    </row>
    <row r="17285" spans="9:10" x14ac:dyDescent="0.25">
      <c r="I17285" s="199"/>
      <c r="J17285" s="199"/>
    </row>
    <row r="17286" spans="9:10" x14ac:dyDescent="0.25">
      <c r="I17286" s="199"/>
      <c r="J17286" s="199"/>
    </row>
    <row r="17287" spans="9:10" x14ac:dyDescent="0.25">
      <c r="I17287" s="199"/>
      <c r="J17287" s="199"/>
    </row>
    <row r="17288" spans="9:10" x14ac:dyDescent="0.25">
      <c r="I17288" s="199"/>
      <c r="J17288" s="199"/>
    </row>
    <row r="17289" spans="9:10" x14ac:dyDescent="0.25">
      <c r="I17289" s="199"/>
      <c r="J17289" s="199"/>
    </row>
    <row r="17290" spans="9:10" x14ac:dyDescent="0.25">
      <c r="I17290" s="199"/>
      <c r="J17290" s="199"/>
    </row>
    <row r="17291" spans="9:10" x14ac:dyDescent="0.25">
      <c r="I17291" s="199"/>
      <c r="J17291" s="199"/>
    </row>
    <row r="17292" spans="9:10" x14ac:dyDescent="0.25">
      <c r="I17292" s="199"/>
      <c r="J17292" s="199"/>
    </row>
    <row r="17293" spans="9:10" x14ac:dyDescent="0.25">
      <c r="I17293" s="199"/>
      <c r="J17293" s="199"/>
    </row>
    <row r="17294" spans="9:10" x14ac:dyDescent="0.25">
      <c r="I17294" s="199"/>
      <c r="J17294" s="199"/>
    </row>
    <row r="17295" spans="9:10" x14ac:dyDescent="0.25">
      <c r="I17295" s="199"/>
      <c r="J17295" s="199"/>
    </row>
    <row r="17296" spans="9:10" x14ac:dyDescent="0.25">
      <c r="I17296" s="199"/>
      <c r="J17296" s="199"/>
    </row>
    <row r="17297" spans="9:10" x14ac:dyDescent="0.25">
      <c r="I17297" s="199"/>
      <c r="J17297" s="199"/>
    </row>
    <row r="17298" spans="9:10" x14ac:dyDescent="0.25">
      <c r="I17298" s="199"/>
      <c r="J17298" s="199"/>
    </row>
    <row r="17299" spans="9:10" x14ac:dyDescent="0.25">
      <c r="I17299" s="199"/>
      <c r="J17299" s="199"/>
    </row>
    <row r="17300" spans="9:10" x14ac:dyDescent="0.25">
      <c r="I17300" s="199"/>
      <c r="J17300" s="199"/>
    </row>
    <row r="17301" spans="9:10" x14ac:dyDescent="0.25">
      <c r="I17301" s="199"/>
      <c r="J17301" s="199"/>
    </row>
    <row r="17302" spans="9:10" x14ac:dyDescent="0.25">
      <c r="I17302" s="199"/>
      <c r="J17302" s="199"/>
    </row>
    <row r="17303" spans="9:10" x14ac:dyDescent="0.25">
      <c r="I17303" s="199"/>
      <c r="J17303" s="199"/>
    </row>
    <row r="17304" spans="9:10" x14ac:dyDescent="0.25">
      <c r="I17304" s="199"/>
      <c r="J17304" s="199"/>
    </row>
    <row r="17305" spans="9:10" x14ac:dyDescent="0.25">
      <c r="I17305" s="199"/>
      <c r="J17305" s="199"/>
    </row>
    <row r="17306" spans="9:10" x14ac:dyDescent="0.25">
      <c r="I17306" s="199"/>
      <c r="J17306" s="199"/>
    </row>
    <row r="17307" spans="9:10" x14ac:dyDescent="0.25">
      <c r="I17307" s="199"/>
      <c r="J17307" s="199"/>
    </row>
    <row r="17308" spans="9:10" x14ac:dyDescent="0.25">
      <c r="I17308" s="199"/>
      <c r="J17308" s="199"/>
    </row>
    <row r="17309" spans="9:10" x14ac:dyDescent="0.25">
      <c r="I17309" s="199"/>
      <c r="J17309" s="199"/>
    </row>
    <row r="17310" spans="9:10" x14ac:dyDescent="0.25">
      <c r="I17310" s="199"/>
      <c r="J17310" s="199"/>
    </row>
    <row r="17311" spans="9:10" x14ac:dyDescent="0.25">
      <c r="I17311" s="199"/>
      <c r="J17311" s="199"/>
    </row>
    <row r="17312" spans="9:10" x14ac:dyDescent="0.25">
      <c r="I17312" s="199"/>
      <c r="J17312" s="199"/>
    </row>
    <row r="17313" spans="9:10" x14ac:dyDescent="0.25">
      <c r="I17313" s="199"/>
      <c r="J17313" s="199"/>
    </row>
    <row r="17314" spans="9:10" x14ac:dyDescent="0.25">
      <c r="I17314" s="199"/>
      <c r="J17314" s="199"/>
    </row>
    <row r="17315" spans="9:10" x14ac:dyDescent="0.25">
      <c r="I17315" s="199"/>
      <c r="J17315" s="199"/>
    </row>
    <row r="17316" spans="9:10" x14ac:dyDescent="0.25">
      <c r="I17316" s="199"/>
      <c r="J17316" s="199"/>
    </row>
    <row r="17317" spans="9:10" x14ac:dyDescent="0.25">
      <c r="I17317" s="199"/>
      <c r="J17317" s="199"/>
    </row>
    <row r="17318" spans="9:10" x14ac:dyDescent="0.25">
      <c r="I17318" s="199"/>
      <c r="J17318" s="199"/>
    </row>
    <row r="17319" spans="9:10" x14ac:dyDescent="0.25">
      <c r="I17319" s="199"/>
      <c r="J17319" s="199"/>
    </row>
    <row r="17320" spans="9:10" x14ac:dyDescent="0.25">
      <c r="I17320" s="199"/>
      <c r="J17320" s="199"/>
    </row>
    <row r="17321" spans="9:10" x14ac:dyDescent="0.25">
      <c r="I17321" s="199"/>
      <c r="J17321" s="199"/>
    </row>
    <row r="17322" spans="9:10" x14ac:dyDescent="0.25">
      <c r="I17322" s="199"/>
      <c r="J17322" s="199"/>
    </row>
    <row r="17323" spans="9:10" x14ac:dyDescent="0.25">
      <c r="I17323" s="199"/>
      <c r="J17323" s="199"/>
    </row>
    <row r="17324" spans="9:10" x14ac:dyDescent="0.25">
      <c r="I17324" s="199"/>
      <c r="J17324" s="199"/>
    </row>
    <row r="17325" spans="9:10" x14ac:dyDescent="0.25">
      <c r="I17325" s="199"/>
      <c r="J17325" s="199"/>
    </row>
    <row r="17326" spans="9:10" x14ac:dyDescent="0.25">
      <c r="I17326" s="199"/>
      <c r="J17326" s="199"/>
    </row>
    <row r="17327" spans="9:10" x14ac:dyDescent="0.25">
      <c r="I17327" s="199"/>
      <c r="J17327" s="199"/>
    </row>
    <row r="17328" spans="9:10" x14ac:dyDescent="0.25">
      <c r="I17328" s="199"/>
      <c r="J17328" s="199"/>
    </row>
    <row r="17329" spans="9:10" x14ac:dyDescent="0.25">
      <c r="I17329" s="199"/>
      <c r="J17329" s="199"/>
    </row>
    <row r="17330" spans="9:10" x14ac:dyDescent="0.25">
      <c r="I17330" s="199"/>
      <c r="J17330" s="199"/>
    </row>
    <row r="17331" spans="9:10" x14ac:dyDescent="0.25">
      <c r="I17331" s="199"/>
      <c r="J17331" s="199"/>
    </row>
    <row r="17332" spans="9:10" x14ac:dyDescent="0.25">
      <c r="I17332" s="199"/>
      <c r="J17332" s="199"/>
    </row>
    <row r="17333" spans="9:10" x14ac:dyDescent="0.25">
      <c r="I17333" s="199"/>
      <c r="J17333" s="199"/>
    </row>
    <row r="17334" spans="9:10" x14ac:dyDescent="0.25">
      <c r="I17334" s="199"/>
      <c r="J17334" s="199"/>
    </row>
    <row r="17335" spans="9:10" x14ac:dyDescent="0.25">
      <c r="I17335" s="199"/>
      <c r="J17335" s="199"/>
    </row>
    <row r="17336" spans="9:10" x14ac:dyDescent="0.25">
      <c r="I17336" s="199"/>
      <c r="J17336" s="199"/>
    </row>
    <row r="17337" spans="9:10" x14ac:dyDescent="0.25">
      <c r="I17337" s="199"/>
      <c r="J17337" s="199"/>
    </row>
    <row r="17338" spans="9:10" x14ac:dyDescent="0.25">
      <c r="I17338" s="199"/>
      <c r="J17338" s="199"/>
    </row>
    <row r="17339" spans="9:10" x14ac:dyDescent="0.25">
      <c r="I17339" s="199"/>
      <c r="J17339" s="199"/>
    </row>
    <row r="17340" spans="9:10" x14ac:dyDescent="0.25">
      <c r="I17340" s="199"/>
      <c r="J17340" s="199"/>
    </row>
    <row r="17341" spans="9:10" x14ac:dyDescent="0.25">
      <c r="I17341" s="199"/>
      <c r="J17341" s="199"/>
    </row>
    <row r="17342" spans="9:10" x14ac:dyDescent="0.25">
      <c r="I17342" s="199"/>
      <c r="J17342" s="199"/>
    </row>
    <row r="17343" spans="9:10" x14ac:dyDescent="0.25">
      <c r="I17343" s="199"/>
      <c r="J17343" s="199"/>
    </row>
    <row r="17344" spans="9:10" x14ac:dyDescent="0.25">
      <c r="I17344" s="199"/>
      <c r="J17344" s="199"/>
    </row>
    <row r="17345" spans="9:10" x14ac:dyDescent="0.25">
      <c r="I17345" s="199"/>
      <c r="J17345" s="199"/>
    </row>
    <row r="17346" spans="9:10" x14ac:dyDescent="0.25">
      <c r="I17346" s="199"/>
      <c r="J17346" s="199"/>
    </row>
    <row r="17347" spans="9:10" x14ac:dyDescent="0.25">
      <c r="I17347" s="199"/>
      <c r="J17347" s="199"/>
    </row>
    <row r="17348" spans="9:10" x14ac:dyDescent="0.25">
      <c r="I17348" s="199"/>
      <c r="J17348" s="199"/>
    </row>
    <row r="17349" spans="9:10" x14ac:dyDescent="0.25">
      <c r="I17349" s="199"/>
      <c r="J17349" s="199"/>
    </row>
    <row r="17350" spans="9:10" x14ac:dyDescent="0.25">
      <c r="I17350" s="199"/>
      <c r="J17350" s="199"/>
    </row>
    <row r="17351" spans="9:10" x14ac:dyDescent="0.25">
      <c r="I17351" s="199"/>
      <c r="J17351" s="199"/>
    </row>
    <row r="17352" spans="9:10" x14ac:dyDescent="0.25">
      <c r="I17352" s="199"/>
      <c r="J17352" s="199"/>
    </row>
    <row r="17353" spans="9:10" x14ac:dyDescent="0.25">
      <c r="I17353" s="199"/>
      <c r="J17353" s="199"/>
    </row>
    <row r="17354" spans="9:10" x14ac:dyDescent="0.25">
      <c r="I17354" s="199"/>
      <c r="J17354" s="199"/>
    </row>
    <row r="17355" spans="9:10" x14ac:dyDescent="0.25">
      <c r="I17355" s="199"/>
      <c r="J17355" s="199"/>
    </row>
    <row r="17356" spans="9:10" x14ac:dyDescent="0.25">
      <c r="I17356" s="199"/>
      <c r="J17356" s="199"/>
    </row>
    <row r="17357" spans="9:10" x14ac:dyDescent="0.25">
      <c r="I17357" s="199"/>
      <c r="J17357" s="199"/>
    </row>
    <row r="17358" spans="9:10" x14ac:dyDescent="0.25">
      <c r="I17358" s="199"/>
      <c r="J17358" s="199"/>
    </row>
    <row r="17359" spans="9:10" x14ac:dyDescent="0.25">
      <c r="I17359" s="199"/>
      <c r="J17359" s="199"/>
    </row>
    <row r="17360" spans="9:10" x14ac:dyDescent="0.25">
      <c r="I17360" s="199"/>
      <c r="J17360" s="199"/>
    </row>
    <row r="17361" spans="9:10" x14ac:dyDescent="0.25">
      <c r="I17361" s="199"/>
      <c r="J17361" s="199"/>
    </row>
    <row r="17362" spans="9:10" x14ac:dyDescent="0.25">
      <c r="I17362" s="199"/>
      <c r="J17362" s="199"/>
    </row>
    <row r="17363" spans="9:10" x14ac:dyDescent="0.25">
      <c r="I17363" s="199"/>
      <c r="J17363" s="199"/>
    </row>
    <row r="17364" spans="9:10" x14ac:dyDescent="0.25">
      <c r="I17364" s="199"/>
      <c r="J17364" s="199"/>
    </row>
    <row r="17365" spans="9:10" x14ac:dyDescent="0.25">
      <c r="I17365" s="199"/>
      <c r="J17365" s="199"/>
    </row>
    <row r="17366" spans="9:10" x14ac:dyDescent="0.25">
      <c r="I17366" s="199"/>
      <c r="J17366" s="199"/>
    </row>
    <row r="17367" spans="9:10" x14ac:dyDescent="0.25">
      <c r="I17367" s="199"/>
      <c r="J17367" s="199"/>
    </row>
    <row r="17368" spans="9:10" x14ac:dyDescent="0.25">
      <c r="I17368" s="199"/>
      <c r="J17368" s="199"/>
    </row>
    <row r="17369" spans="9:10" x14ac:dyDescent="0.25">
      <c r="I17369" s="199"/>
      <c r="J17369" s="199"/>
    </row>
    <row r="17370" spans="9:10" x14ac:dyDescent="0.25">
      <c r="I17370" s="199"/>
      <c r="J17370" s="199"/>
    </row>
    <row r="17371" spans="9:10" x14ac:dyDescent="0.25">
      <c r="I17371" s="199"/>
      <c r="J17371" s="199"/>
    </row>
    <row r="17372" spans="9:10" x14ac:dyDescent="0.25">
      <c r="I17372" s="199"/>
      <c r="J17372" s="199"/>
    </row>
    <row r="17373" spans="9:10" x14ac:dyDescent="0.25">
      <c r="I17373" s="199"/>
      <c r="J17373" s="199"/>
    </row>
    <row r="17374" spans="9:10" x14ac:dyDescent="0.25">
      <c r="I17374" s="199"/>
      <c r="J17374" s="199"/>
    </row>
    <row r="17375" spans="9:10" x14ac:dyDescent="0.25">
      <c r="I17375" s="199"/>
      <c r="J17375" s="199"/>
    </row>
    <row r="17376" spans="9:10" x14ac:dyDescent="0.25">
      <c r="I17376" s="199"/>
      <c r="J17376" s="199"/>
    </row>
    <row r="17377" spans="9:10" x14ac:dyDescent="0.25">
      <c r="I17377" s="199"/>
      <c r="J17377" s="199"/>
    </row>
    <row r="17378" spans="9:10" x14ac:dyDescent="0.25">
      <c r="I17378" s="199"/>
      <c r="J17378" s="199"/>
    </row>
    <row r="17379" spans="9:10" x14ac:dyDescent="0.25">
      <c r="I17379" s="199"/>
      <c r="J17379" s="199"/>
    </row>
    <row r="17380" spans="9:10" x14ac:dyDescent="0.25">
      <c r="I17380" s="199"/>
      <c r="J17380" s="199"/>
    </row>
    <row r="17381" spans="9:10" x14ac:dyDescent="0.25">
      <c r="I17381" s="199"/>
      <c r="J17381" s="199"/>
    </row>
    <row r="17382" spans="9:10" x14ac:dyDescent="0.25">
      <c r="I17382" s="199"/>
      <c r="J17382" s="199"/>
    </row>
    <row r="17383" spans="9:10" x14ac:dyDescent="0.25">
      <c r="I17383" s="199"/>
      <c r="J17383" s="199"/>
    </row>
    <row r="17384" spans="9:10" x14ac:dyDescent="0.25">
      <c r="I17384" s="199"/>
      <c r="J17384" s="199"/>
    </row>
    <row r="17385" spans="9:10" x14ac:dyDescent="0.25">
      <c r="I17385" s="199"/>
      <c r="J17385" s="199"/>
    </row>
    <row r="17386" spans="9:10" x14ac:dyDescent="0.25">
      <c r="I17386" s="199"/>
      <c r="J17386" s="199"/>
    </row>
    <row r="17387" spans="9:10" x14ac:dyDescent="0.25">
      <c r="I17387" s="199"/>
      <c r="J17387" s="199"/>
    </row>
    <row r="17388" spans="9:10" x14ac:dyDescent="0.25">
      <c r="I17388" s="199"/>
      <c r="J17388" s="199"/>
    </row>
    <row r="17389" spans="9:10" x14ac:dyDescent="0.25">
      <c r="I17389" s="199"/>
      <c r="J17389" s="199"/>
    </row>
    <row r="17390" spans="9:10" x14ac:dyDescent="0.25">
      <c r="I17390" s="199"/>
      <c r="J17390" s="199"/>
    </row>
    <row r="17391" spans="9:10" x14ac:dyDescent="0.25">
      <c r="I17391" s="199"/>
      <c r="J17391" s="199"/>
    </row>
    <row r="17392" spans="9:10" x14ac:dyDescent="0.25">
      <c r="I17392" s="199"/>
      <c r="J17392" s="199"/>
    </row>
    <row r="17393" spans="9:10" x14ac:dyDescent="0.25">
      <c r="I17393" s="199"/>
      <c r="J17393" s="199"/>
    </row>
    <row r="17394" spans="9:10" x14ac:dyDescent="0.25">
      <c r="I17394" s="199"/>
      <c r="J17394" s="199"/>
    </row>
    <row r="17395" spans="9:10" x14ac:dyDescent="0.25">
      <c r="I17395" s="199"/>
      <c r="J17395" s="199"/>
    </row>
    <row r="17396" spans="9:10" x14ac:dyDescent="0.25">
      <c r="I17396" s="199"/>
      <c r="J17396" s="199"/>
    </row>
    <row r="17397" spans="9:10" x14ac:dyDescent="0.25">
      <c r="I17397" s="199"/>
      <c r="J17397" s="199"/>
    </row>
    <row r="17398" spans="9:10" x14ac:dyDescent="0.25">
      <c r="I17398" s="199"/>
      <c r="J17398" s="199"/>
    </row>
    <row r="17399" spans="9:10" x14ac:dyDescent="0.25">
      <c r="I17399" s="199"/>
      <c r="J17399" s="199"/>
    </row>
    <row r="17400" spans="9:10" x14ac:dyDescent="0.25">
      <c r="I17400" s="199"/>
      <c r="J17400" s="199"/>
    </row>
    <row r="17401" spans="9:10" x14ac:dyDescent="0.25">
      <c r="I17401" s="199"/>
      <c r="J17401" s="199"/>
    </row>
    <row r="17402" spans="9:10" x14ac:dyDescent="0.25">
      <c r="I17402" s="199"/>
      <c r="J17402" s="199"/>
    </row>
    <row r="17403" spans="9:10" x14ac:dyDescent="0.25">
      <c r="I17403" s="199"/>
      <c r="J17403" s="199"/>
    </row>
    <row r="17404" spans="9:10" x14ac:dyDescent="0.25">
      <c r="I17404" s="199"/>
      <c r="J17404" s="199"/>
    </row>
    <row r="17405" spans="9:10" x14ac:dyDescent="0.25">
      <c r="I17405" s="199"/>
      <c r="J17405" s="199"/>
    </row>
    <row r="17406" spans="9:10" x14ac:dyDescent="0.25">
      <c r="I17406" s="199"/>
      <c r="J17406" s="199"/>
    </row>
    <row r="17407" spans="9:10" x14ac:dyDescent="0.25">
      <c r="I17407" s="199"/>
      <c r="J17407" s="199"/>
    </row>
    <row r="17408" spans="9:10" x14ac:dyDescent="0.25">
      <c r="I17408" s="199"/>
      <c r="J17408" s="199"/>
    </row>
    <row r="17409" spans="9:10" x14ac:dyDescent="0.25">
      <c r="I17409" s="199"/>
      <c r="J17409" s="199"/>
    </row>
    <row r="17410" spans="9:10" x14ac:dyDescent="0.25">
      <c r="I17410" s="199"/>
      <c r="J17410" s="199"/>
    </row>
    <row r="17411" spans="9:10" x14ac:dyDescent="0.25">
      <c r="I17411" s="199"/>
      <c r="J17411" s="199"/>
    </row>
    <row r="17412" spans="9:10" x14ac:dyDescent="0.25">
      <c r="I17412" s="199"/>
      <c r="J17412" s="199"/>
    </row>
    <row r="17413" spans="9:10" x14ac:dyDescent="0.25">
      <c r="I17413" s="199"/>
      <c r="J17413" s="199"/>
    </row>
    <row r="17414" spans="9:10" x14ac:dyDescent="0.25">
      <c r="I17414" s="199"/>
      <c r="J17414" s="199"/>
    </row>
    <row r="17415" spans="9:10" x14ac:dyDescent="0.25">
      <c r="I17415" s="199"/>
      <c r="J17415" s="199"/>
    </row>
    <row r="17416" spans="9:10" x14ac:dyDescent="0.25">
      <c r="I17416" s="199"/>
      <c r="J17416" s="199"/>
    </row>
    <row r="17417" spans="9:10" x14ac:dyDescent="0.25">
      <c r="I17417" s="199"/>
      <c r="J17417" s="199"/>
    </row>
    <row r="17418" spans="9:10" x14ac:dyDescent="0.25">
      <c r="I17418" s="199"/>
      <c r="J17418" s="199"/>
    </row>
    <row r="17419" spans="9:10" x14ac:dyDescent="0.25">
      <c r="I17419" s="199"/>
      <c r="J17419" s="199"/>
    </row>
    <row r="17420" spans="9:10" x14ac:dyDescent="0.25">
      <c r="I17420" s="199"/>
      <c r="J17420" s="199"/>
    </row>
    <row r="17421" spans="9:10" x14ac:dyDescent="0.25">
      <c r="I17421" s="199"/>
      <c r="J17421" s="199"/>
    </row>
    <row r="17422" spans="9:10" x14ac:dyDescent="0.25">
      <c r="I17422" s="199"/>
      <c r="J17422" s="199"/>
    </row>
    <row r="17423" spans="9:10" x14ac:dyDescent="0.25">
      <c r="I17423" s="199"/>
      <c r="J17423" s="199"/>
    </row>
    <row r="17424" spans="9:10" x14ac:dyDescent="0.25">
      <c r="I17424" s="199"/>
      <c r="J17424" s="199"/>
    </row>
    <row r="17425" spans="9:10" x14ac:dyDescent="0.25">
      <c r="I17425" s="199"/>
      <c r="J17425" s="199"/>
    </row>
    <row r="17426" spans="9:10" x14ac:dyDescent="0.25">
      <c r="I17426" s="199"/>
      <c r="J17426" s="199"/>
    </row>
    <row r="17427" spans="9:10" x14ac:dyDescent="0.25">
      <c r="I17427" s="199"/>
      <c r="J17427" s="199"/>
    </row>
    <row r="17428" spans="9:10" x14ac:dyDescent="0.25">
      <c r="I17428" s="199"/>
      <c r="J17428" s="199"/>
    </row>
    <row r="17429" spans="9:10" x14ac:dyDescent="0.25">
      <c r="I17429" s="199"/>
      <c r="J17429" s="199"/>
    </row>
    <row r="17430" spans="9:10" x14ac:dyDescent="0.25">
      <c r="I17430" s="199"/>
      <c r="J17430" s="199"/>
    </row>
    <row r="17431" spans="9:10" x14ac:dyDescent="0.25">
      <c r="I17431" s="199"/>
      <c r="J17431" s="199"/>
    </row>
    <row r="17432" spans="9:10" x14ac:dyDescent="0.25">
      <c r="I17432" s="199"/>
      <c r="J17432" s="199"/>
    </row>
    <row r="17433" spans="9:10" x14ac:dyDescent="0.25">
      <c r="I17433" s="199"/>
      <c r="J17433" s="199"/>
    </row>
    <row r="17434" spans="9:10" x14ac:dyDescent="0.25">
      <c r="I17434" s="199"/>
      <c r="J17434" s="199"/>
    </row>
    <row r="17435" spans="9:10" x14ac:dyDescent="0.25">
      <c r="I17435" s="199"/>
      <c r="J17435" s="199"/>
    </row>
    <row r="17436" spans="9:10" x14ac:dyDescent="0.25">
      <c r="I17436" s="199"/>
      <c r="J17436" s="199"/>
    </row>
    <row r="17437" spans="9:10" x14ac:dyDescent="0.25">
      <c r="I17437" s="199"/>
      <c r="J17437" s="199"/>
    </row>
    <row r="17438" spans="9:10" x14ac:dyDescent="0.25">
      <c r="I17438" s="199"/>
      <c r="J17438" s="199"/>
    </row>
    <row r="17439" spans="9:10" x14ac:dyDescent="0.25">
      <c r="I17439" s="199"/>
      <c r="J17439" s="199"/>
    </row>
    <row r="17440" spans="9:10" x14ac:dyDescent="0.25">
      <c r="I17440" s="199"/>
      <c r="J17440" s="199"/>
    </row>
    <row r="17441" spans="9:10" x14ac:dyDescent="0.25">
      <c r="I17441" s="199"/>
      <c r="J17441" s="199"/>
    </row>
    <row r="17442" spans="9:10" x14ac:dyDescent="0.25">
      <c r="I17442" s="199"/>
      <c r="J17442" s="199"/>
    </row>
    <row r="17443" spans="9:10" x14ac:dyDescent="0.25">
      <c r="I17443" s="199"/>
      <c r="J17443" s="199"/>
    </row>
    <row r="17444" spans="9:10" x14ac:dyDescent="0.25">
      <c r="I17444" s="199"/>
      <c r="J17444" s="199"/>
    </row>
    <row r="17445" spans="9:10" x14ac:dyDescent="0.25">
      <c r="I17445" s="199"/>
      <c r="J17445" s="199"/>
    </row>
    <row r="17446" spans="9:10" x14ac:dyDescent="0.25">
      <c r="I17446" s="199"/>
      <c r="J17446" s="199"/>
    </row>
    <row r="17447" spans="9:10" x14ac:dyDescent="0.25">
      <c r="I17447" s="199"/>
      <c r="J17447" s="199"/>
    </row>
    <row r="17448" spans="9:10" x14ac:dyDescent="0.25">
      <c r="I17448" s="199"/>
      <c r="J17448" s="199"/>
    </row>
    <row r="17449" spans="9:10" x14ac:dyDescent="0.25">
      <c r="I17449" s="199"/>
      <c r="J17449" s="199"/>
    </row>
    <row r="17450" spans="9:10" x14ac:dyDescent="0.25">
      <c r="I17450" s="199"/>
      <c r="J17450" s="199"/>
    </row>
    <row r="17451" spans="9:10" x14ac:dyDescent="0.25">
      <c r="I17451" s="199"/>
      <c r="J17451" s="199"/>
    </row>
    <row r="17452" spans="9:10" x14ac:dyDescent="0.25">
      <c r="I17452" s="199"/>
      <c r="J17452" s="199"/>
    </row>
    <row r="17453" spans="9:10" x14ac:dyDescent="0.25">
      <c r="I17453" s="199"/>
      <c r="J17453" s="199"/>
    </row>
    <row r="17454" spans="9:10" x14ac:dyDescent="0.25">
      <c r="I17454" s="199"/>
      <c r="J17454" s="199"/>
    </row>
    <row r="17455" spans="9:10" x14ac:dyDescent="0.25">
      <c r="I17455" s="199"/>
      <c r="J17455" s="199"/>
    </row>
    <row r="17456" spans="9:10" x14ac:dyDescent="0.25">
      <c r="I17456" s="199"/>
      <c r="J17456" s="199"/>
    </row>
    <row r="17457" spans="9:10" x14ac:dyDescent="0.25">
      <c r="I17457" s="199"/>
      <c r="J17457" s="199"/>
    </row>
    <row r="17458" spans="9:10" x14ac:dyDescent="0.25">
      <c r="I17458" s="199"/>
      <c r="J17458" s="199"/>
    </row>
    <row r="17459" spans="9:10" x14ac:dyDescent="0.25">
      <c r="I17459" s="199"/>
      <c r="J17459" s="199"/>
    </row>
    <row r="17460" spans="9:10" x14ac:dyDescent="0.25">
      <c r="I17460" s="199"/>
      <c r="J17460" s="199"/>
    </row>
    <row r="17461" spans="9:10" x14ac:dyDescent="0.25">
      <c r="I17461" s="199"/>
      <c r="J17461" s="199"/>
    </row>
    <row r="17462" spans="9:10" x14ac:dyDescent="0.25">
      <c r="I17462" s="199"/>
      <c r="J17462" s="199"/>
    </row>
    <row r="17463" spans="9:10" x14ac:dyDescent="0.25">
      <c r="I17463" s="199"/>
      <c r="J17463" s="199"/>
    </row>
    <row r="17464" spans="9:10" x14ac:dyDescent="0.25">
      <c r="I17464" s="199"/>
      <c r="J17464" s="199"/>
    </row>
    <row r="17465" spans="9:10" x14ac:dyDescent="0.25">
      <c r="I17465" s="199"/>
      <c r="J17465" s="199"/>
    </row>
    <row r="17466" spans="9:10" x14ac:dyDescent="0.25">
      <c r="I17466" s="199"/>
      <c r="J17466" s="199"/>
    </row>
    <row r="17467" spans="9:10" x14ac:dyDescent="0.25">
      <c r="I17467" s="199"/>
      <c r="J17467" s="199"/>
    </row>
    <row r="17468" spans="9:10" x14ac:dyDescent="0.25">
      <c r="I17468" s="199"/>
      <c r="J17468" s="199"/>
    </row>
    <row r="17469" spans="9:10" x14ac:dyDescent="0.25">
      <c r="I17469" s="199"/>
      <c r="J17469" s="199"/>
    </row>
    <row r="17470" spans="9:10" x14ac:dyDescent="0.25">
      <c r="I17470" s="199"/>
      <c r="J17470" s="199"/>
    </row>
    <row r="17471" spans="9:10" x14ac:dyDescent="0.25">
      <c r="I17471" s="199"/>
      <c r="J17471" s="199"/>
    </row>
    <row r="17472" spans="9:10" x14ac:dyDescent="0.25">
      <c r="I17472" s="199"/>
      <c r="J17472" s="199"/>
    </row>
    <row r="17473" spans="9:10" x14ac:dyDescent="0.25">
      <c r="I17473" s="199"/>
      <c r="J17473" s="199"/>
    </row>
    <row r="17474" spans="9:10" x14ac:dyDescent="0.25">
      <c r="I17474" s="199"/>
      <c r="J17474" s="199"/>
    </row>
    <row r="17475" spans="9:10" x14ac:dyDescent="0.25">
      <c r="I17475" s="199"/>
      <c r="J17475" s="199"/>
    </row>
    <row r="17476" spans="9:10" x14ac:dyDescent="0.25">
      <c r="I17476" s="199"/>
      <c r="J17476" s="199"/>
    </row>
    <row r="17477" spans="9:10" x14ac:dyDescent="0.25">
      <c r="I17477" s="199"/>
      <c r="J17477" s="199"/>
    </row>
    <row r="17478" spans="9:10" x14ac:dyDescent="0.25">
      <c r="I17478" s="199"/>
      <c r="J17478" s="199"/>
    </row>
    <row r="17479" spans="9:10" x14ac:dyDescent="0.25">
      <c r="I17479" s="199"/>
      <c r="J17479" s="199"/>
    </row>
    <row r="17480" spans="9:10" x14ac:dyDescent="0.25">
      <c r="I17480" s="199"/>
      <c r="J17480" s="199"/>
    </row>
    <row r="17481" spans="9:10" x14ac:dyDescent="0.25">
      <c r="I17481" s="199"/>
      <c r="J17481" s="199"/>
    </row>
    <row r="17482" spans="9:10" x14ac:dyDescent="0.25">
      <c r="I17482" s="199"/>
      <c r="J17482" s="199"/>
    </row>
    <row r="17483" spans="9:10" x14ac:dyDescent="0.25">
      <c r="I17483" s="199"/>
      <c r="J17483" s="199"/>
    </row>
    <row r="17484" spans="9:10" x14ac:dyDescent="0.25">
      <c r="I17484" s="199"/>
      <c r="J17484" s="199"/>
    </row>
    <row r="17485" spans="9:10" x14ac:dyDescent="0.25">
      <c r="I17485" s="199"/>
      <c r="J17485" s="199"/>
    </row>
    <row r="17486" spans="9:10" x14ac:dyDescent="0.25">
      <c r="I17486" s="199"/>
      <c r="J17486" s="199"/>
    </row>
    <row r="17487" spans="9:10" x14ac:dyDescent="0.25">
      <c r="I17487" s="199"/>
      <c r="J17487" s="199"/>
    </row>
    <row r="17488" spans="9:10" x14ac:dyDescent="0.25">
      <c r="I17488" s="199"/>
      <c r="J17488" s="199"/>
    </row>
    <row r="17489" spans="9:10" x14ac:dyDescent="0.25">
      <c r="I17489" s="199"/>
      <c r="J17489" s="199"/>
    </row>
    <row r="17490" spans="9:10" x14ac:dyDescent="0.25">
      <c r="I17490" s="199"/>
      <c r="J17490" s="199"/>
    </row>
    <row r="17491" spans="9:10" x14ac:dyDescent="0.25">
      <c r="I17491" s="199"/>
      <c r="J17491" s="199"/>
    </row>
    <row r="17492" spans="9:10" x14ac:dyDescent="0.25">
      <c r="I17492" s="199"/>
      <c r="J17492" s="199"/>
    </row>
    <row r="17493" spans="9:10" x14ac:dyDescent="0.25">
      <c r="I17493" s="199"/>
      <c r="J17493" s="199"/>
    </row>
    <row r="17494" spans="9:10" x14ac:dyDescent="0.25">
      <c r="I17494" s="199"/>
      <c r="J17494" s="199"/>
    </row>
    <row r="17495" spans="9:10" x14ac:dyDescent="0.25">
      <c r="I17495" s="199"/>
      <c r="J17495" s="199"/>
    </row>
    <row r="17496" spans="9:10" x14ac:dyDescent="0.25">
      <c r="I17496" s="199"/>
      <c r="J17496" s="199"/>
    </row>
    <row r="17497" spans="9:10" x14ac:dyDescent="0.25">
      <c r="I17497" s="199"/>
      <c r="J17497" s="199"/>
    </row>
    <row r="17498" spans="9:10" x14ac:dyDescent="0.25">
      <c r="I17498" s="199"/>
      <c r="J17498" s="199"/>
    </row>
    <row r="17499" spans="9:10" x14ac:dyDescent="0.25">
      <c r="I17499" s="199"/>
      <c r="J17499" s="199"/>
    </row>
    <row r="17500" spans="9:10" x14ac:dyDescent="0.25">
      <c r="I17500" s="199"/>
      <c r="J17500" s="199"/>
    </row>
    <row r="17501" spans="9:10" x14ac:dyDescent="0.25">
      <c r="I17501" s="199"/>
      <c r="J17501" s="199"/>
    </row>
    <row r="17502" spans="9:10" x14ac:dyDescent="0.25">
      <c r="I17502" s="199"/>
      <c r="J17502" s="199"/>
    </row>
    <row r="17503" spans="9:10" x14ac:dyDescent="0.25">
      <c r="I17503" s="199"/>
      <c r="J17503" s="199"/>
    </row>
    <row r="17504" spans="9:10" x14ac:dyDescent="0.25">
      <c r="I17504" s="199"/>
      <c r="J17504" s="199"/>
    </row>
    <row r="17505" spans="9:10" x14ac:dyDescent="0.25">
      <c r="I17505" s="199"/>
      <c r="J17505" s="199"/>
    </row>
    <row r="17506" spans="9:10" x14ac:dyDescent="0.25">
      <c r="I17506" s="199"/>
      <c r="J17506" s="199"/>
    </row>
    <row r="17507" spans="9:10" x14ac:dyDescent="0.25">
      <c r="I17507" s="199"/>
      <c r="J17507" s="199"/>
    </row>
    <row r="17508" spans="9:10" x14ac:dyDescent="0.25">
      <c r="I17508" s="199"/>
      <c r="J17508" s="199"/>
    </row>
    <row r="17509" spans="9:10" x14ac:dyDescent="0.25">
      <c r="I17509" s="199"/>
      <c r="J17509" s="199"/>
    </row>
    <row r="17510" spans="9:10" x14ac:dyDescent="0.25">
      <c r="I17510" s="199"/>
      <c r="J17510" s="199"/>
    </row>
    <row r="17511" spans="9:10" x14ac:dyDescent="0.25">
      <c r="I17511" s="199"/>
      <c r="J17511" s="199"/>
    </row>
    <row r="17512" spans="9:10" x14ac:dyDescent="0.25">
      <c r="I17512" s="199"/>
      <c r="J17512" s="199"/>
    </row>
    <row r="17513" spans="9:10" x14ac:dyDescent="0.25">
      <c r="I17513" s="199"/>
      <c r="J17513" s="199"/>
    </row>
    <row r="17514" spans="9:10" x14ac:dyDescent="0.25">
      <c r="I17514" s="199"/>
      <c r="J17514" s="199"/>
    </row>
    <row r="17515" spans="9:10" x14ac:dyDescent="0.25">
      <c r="I17515" s="199"/>
      <c r="J17515" s="199"/>
    </row>
    <row r="17516" spans="9:10" x14ac:dyDescent="0.25">
      <c r="I17516" s="199"/>
      <c r="J17516" s="199"/>
    </row>
    <row r="17517" spans="9:10" x14ac:dyDescent="0.25">
      <c r="I17517" s="199"/>
      <c r="J17517" s="199"/>
    </row>
    <row r="17518" spans="9:10" x14ac:dyDescent="0.25">
      <c r="I17518" s="199"/>
      <c r="J17518" s="199"/>
    </row>
    <row r="17519" spans="9:10" x14ac:dyDescent="0.25">
      <c r="I17519" s="199"/>
      <c r="J17519" s="199"/>
    </row>
    <row r="17520" spans="9:10" x14ac:dyDescent="0.25">
      <c r="I17520" s="199"/>
      <c r="J17520" s="199"/>
    </row>
    <row r="17521" spans="9:10" x14ac:dyDescent="0.25">
      <c r="I17521" s="199"/>
      <c r="J17521" s="199"/>
    </row>
    <row r="17522" spans="9:10" x14ac:dyDescent="0.25">
      <c r="I17522" s="199"/>
      <c r="J17522" s="199"/>
    </row>
    <row r="17523" spans="9:10" x14ac:dyDescent="0.25">
      <c r="I17523" s="199"/>
      <c r="J17523" s="199"/>
    </row>
    <row r="17524" spans="9:10" x14ac:dyDescent="0.25">
      <c r="I17524" s="199"/>
      <c r="J17524" s="199"/>
    </row>
    <row r="17525" spans="9:10" x14ac:dyDescent="0.25">
      <c r="I17525" s="199"/>
      <c r="J17525" s="199"/>
    </row>
    <row r="17526" spans="9:10" x14ac:dyDescent="0.25">
      <c r="I17526" s="199"/>
      <c r="J17526" s="199"/>
    </row>
    <row r="17527" spans="9:10" x14ac:dyDescent="0.25">
      <c r="I17527" s="199"/>
      <c r="J17527" s="199"/>
    </row>
    <row r="17528" spans="9:10" x14ac:dyDescent="0.25">
      <c r="I17528" s="199"/>
      <c r="J17528" s="199"/>
    </row>
    <row r="17529" spans="9:10" x14ac:dyDescent="0.25">
      <c r="I17529" s="199"/>
      <c r="J17529" s="199"/>
    </row>
    <row r="17530" spans="9:10" x14ac:dyDescent="0.25">
      <c r="I17530" s="199"/>
      <c r="J17530" s="199"/>
    </row>
    <row r="17531" spans="9:10" x14ac:dyDescent="0.25">
      <c r="I17531" s="199"/>
      <c r="J17531" s="199"/>
    </row>
    <row r="17532" spans="9:10" x14ac:dyDescent="0.25">
      <c r="I17532" s="199"/>
      <c r="J17532" s="199"/>
    </row>
    <row r="17533" spans="9:10" x14ac:dyDescent="0.25">
      <c r="I17533" s="199"/>
      <c r="J17533" s="199"/>
    </row>
    <row r="17534" spans="9:10" x14ac:dyDescent="0.25">
      <c r="I17534" s="199"/>
      <c r="J17534" s="199"/>
    </row>
    <row r="17535" spans="9:10" x14ac:dyDescent="0.25">
      <c r="I17535" s="199"/>
      <c r="J17535" s="199"/>
    </row>
    <row r="17536" spans="9:10" x14ac:dyDescent="0.25">
      <c r="I17536" s="199"/>
      <c r="J17536" s="199"/>
    </row>
    <row r="17537" spans="9:10" x14ac:dyDescent="0.25">
      <c r="I17537" s="199"/>
      <c r="J17537" s="199"/>
    </row>
    <row r="17538" spans="9:10" x14ac:dyDescent="0.25">
      <c r="I17538" s="199"/>
      <c r="J17538" s="199"/>
    </row>
    <row r="17539" spans="9:10" x14ac:dyDescent="0.25">
      <c r="I17539" s="199"/>
      <c r="J17539" s="199"/>
    </row>
    <row r="17540" spans="9:10" x14ac:dyDescent="0.25">
      <c r="I17540" s="199"/>
      <c r="J17540" s="199"/>
    </row>
    <row r="17541" spans="9:10" x14ac:dyDescent="0.25">
      <c r="I17541" s="199"/>
      <c r="J17541" s="199"/>
    </row>
    <row r="17542" spans="9:10" x14ac:dyDescent="0.25">
      <c r="I17542" s="199"/>
      <c r="J17542" s="199"/>
    </row>
    <row r="17543" spans="9:10" x14ac:dyDescent="0.25">
      <c r="I17543" s="199"/>
      <c r="J17543" s="199"/>
    </row>
    <row r="17544" spans="9:10" x14ac:dyDescent="0.25">
      <c r="I17544" s="199"/>
      <c r="J17544" s="199"/>
    </row>
    <row r="17545" spans="9:10" x14ac:dyDescent="0.25">
      <c r="I17545" s="199"/>
      <c r="J17545" s="199"/>
    </row>
    <row r="17546" spans="9:10" x14ac:dyDescent="0.25">
      <c r="I17546" s="199"/>
      <c r="J17546" s="199"/>
    </row>
    <row r="17547" spans="9:10" x14ac:dyDescent="0.25">
      <c r="I17547" s="199"/>
      <c r="J17547" s="199"/>
    </row>
    <row r="17548" spans="9:10" x14ac:dyDescent="0.25">
      <c r="I17548" s="199"/>
      <c r="J17548" s="199"/>
    </row>
    <row r="17549" spans="9:10" x14ac:dyDescent="0.25">
      <c r="I17549" s="199"/>
      <c r="J17549" s="199"/>
    </row>
    <row r="17550" spans="9:10" x14ac:dyDescent="0.25">
      <c r="I17550" s="199"/>
      <c r="J17550" s="199"/>
    </row>
    <row r="17551" spans="9:10" x14ac:dyDescent="0.25">
      <c r="I17551" s="199"/>
      <c r="J17551" s="199"/>
    </row>
    <row r="17552" spans="9:10" x14ac:dyDescent="0.25">
      <c r="I17552" s="199"/>
      <c r="J17552" s="199"/>
    </row>
    <row r="17553" spans="9:10" x14ac:dyDescent="0.25">
      <c r="I17553" s="199"/>
      <c r="J17553" s="199"/>
    </row>
    <row r="17554" spans="9:10" x14ac:dyDescent="0.25">
      <c r="I17554" s="199"/>
      <c r="J17554" s="199"/>
    </row>
    <row r="17555" spans="9:10" x14ac:dyDescent="0.25">
      <c r="I17555" s="199"/>
      <c r="J17555" s="199"/>
    </row>
    <row r="17556" spans="9:10" x14ac:dyDescent="0.25">
      <c r="I17556" s="199"/>
      <c r="J17556" s="199"/>
    </row>
    <row r="17557" spans="9:10" x14ac:dyDescent="0.25">
      <c r="I17557" s="199"/>
      <c r="J17557" s="199"/>
    </row>
    <row r="17558" spans="9:10" x14ac:dyDescent="0.25">
      <c r="I17558" s="199"/>
      <c r="J17558" s="199"/>
    </row>
    <row r="17559" spans="9:10" x14ac:dyDescent="0.25">
      <c r="I17559" s="199"/>
      <c r="J17559" s="199"/>
    </row>
    <row r="17560" spans="9:10" x14ac:dyDescent="0.25">
      <c r="I17560" s="199"/>
      <c r="J17560" s="199"/>
    </row>
    <row r="17561" spans="9:10" x14ac:dyDescent="0.25">
      <c r="I17561" s="199"/>
      <c r="J17561" s="199"/>
    </row>
    <row r="17562" spans="9:10" x14ac:dyDescent="0.25">
      <c r="I17562" s="199"/>
      <c r="J17562" s="199"/>
    </row>
    <row r="17563" spans="9:10" x14ac:dyDescent="0.25">
      <c r="I17563" s="199"/>
      <c r="J17563" s="199"/>
    </row>
    <row r="17564" spans="9:10" x14ac:dyDescent="0.25">
      <c r="I17564" s="199"/>
      <c r="J17564" s="199"/>
    </row>
    <row r="17565" spans="9:10" x14ac:dyDescent="0.25">
      <c r="I17565" s="199"/>
      <c r="J17565" s="199"/>
    </row>
    <row r="17566" spans="9:10" x14ac:dyDescent="0.25">
      <c r="I17566" s="199"/>
      <c r="J17566" s="199"/>
    </row>
    <row r="17567" spans="9:10" x14ac:dyDescent="0.25">
      <c r="I17567" s="199"/>
      <c r="J17567" s="199"/>
    </row>
    <row r="17568" spans="9:10" x14ac:dyDescent="0.25">
      <c r="I17568" s="199"/>
      <c r="J17568" s="199"/>
    </row>
    <row r="17569" spans="9:10" x14ac:dyDescent="0.25">
      <c r="I17569" s="199"/>
      <c r="J17569" s="199"/>
    </row>
    <row r="17570" spans="9:10" x14ac:dyDescent="0.25">
      <c r="I17570" s="199"/>
      <c r="J17570" s="199"/>
    </row>
    <row r="17571" spans="9:10" x14ac:dyDescent="0.25">
      <c r="I17571" s="199"/>
      <c r="J17571" s="199"/>
    </row>
    <row r="17572" spans="9:10" x14ac:dyDescent="0.25">
      <c r="I17572" s="199"/>
      <c r="J17572" s="199"/>
    </row>
    <row r="17573" spans="9:10" x14ac:dyDescent="0.25">
      <c r="I17573" s="199"/>
      <c r="J17573" s="199"/>
    </row>
    <row r="17574" spans="9:10" x14ac:dyDescent="0.25">
      <c r="I17574" s="199"/>
      <c r="J17574" s="199"/>
    </row>
    <row r="17575" spans="9:10" x14ac:dyDescent="0.25">
      <c r="I17575" s="199"/>
      <c r="J17575" s="199"/>
    </row>
    <row r="17576" spans="9:10" x14ac:dyDescent="0.25">
      <c r="I17576" s="199"/>
      <c r="J17576" s="199"/>
    </row>
    <row r="17577" spans="9:10" x14ac:dyDescent="0.25">
      <c r="I17577" s="199"/>
      <c r="J17577" s="199"/>
    </row>
    <row r="17578" spans="9:10" x14ac:dyDescent="0.25">
      <c r="I17578" s="199"/>
      <c r="J17578" s="199"/>
    </row>
    <row r="17579" spans="9:10" x14ac:dyDescent="0.25">
      <c r="I17579" s="199"/>
      <c r="J17579" s="199"/>
    </row>
    <row r="17580" spans="9:10" x14ac:dyDescent="0.25">
      <c r="I17580" s="199"/>
      <c r="J17580" s="199"/>
    </row>
    <row r="17581" spans="9:10" x14ac:dyDescent="0.25">
      <c r="I17581" s="199"/>
      <c r="J17581" s="199"/>
    </row>
    <row r="17582" spans="9:10" x14ac:dyDescent="0.25">
      <c r="I17582" s="199"/>
      <c r="J17582" s="199"/>
    </row>
    <row r="17583" spans="9:10" x14ac:dyDescent="0.25">
      <c r="I17583" s="199"/>
      <c r="J17583" s="199"/>
    </row>
    <row r="17584" spans="9:10" x14ac:dyDescent="0.25">
      <c r="I17584" s="199"/>
      <c r="J17584" s="199"/>
    </row>
    <row r="17585" spans="9:10" x14ac:dyDescent="0.25">
      <c r="I17585" s="199"/>
      <c r="J17585" s="199"/>
    </row>
    <row r="17586" spans="9:10" x14ac:dyDescent="0.25">
      <c r="I17586" s="199"/>
      <c r="J17586" s="199"/>
    </row>
    <row r="17587" spans="9:10" x14ac:dyDescent="0.25">
      <c r="I17587" s="199"/>
      <c r="J17587" s="199"/>
    </row>
    <row r="17588" spans="9:10" x14ac:dyDescent="0.25">
      <c r="I17588" s="199"/>
      <c r="J17588" s="199"/>
    </row>
    <row r="17589" spans="9:10" x14ac:dyDescent="0.25">
      <c r="I17589" s="199"/>
      <c r="J17589" s="199"/>
    </row>
    <row r="17590" spans="9:10" x14ac:dyDescent="0.25">
      <c r="I17590" s="199"/>
      <c r="J17590" s="199"/>
    </row>
    <row r="17591" spans="9:10" x14ac:dyDescent="0.25">
      <c r="I17591" s="199"/>
      <c r="J17591" s="199"/>
    </row>
    <row r="17592" spans="9:10" x14ac:dyDescent="0.25">
      <c r="I17592" s="199"/>
      <c r="J17592" s="199"/>
    </row>
    <row r="17593" spans="9:10" x14ac:dyDescent="0.25">
      <c r="I17593" s="199"/>
      <c r="J17593" s="199"/>
    </row>
    <row r="17594" spans="9:10" x14ac:dyDescent="0.25">
      <c r="I17594" s="199"/>
      <c r="J17594" s="199"/>
    </row>
    <row r="17595" spans="9:10" x14ac:dyDescent="0.25">
      <c r="I17595" s="199"/>
      <c r="J17595" s="199"/>
    </row>
    <row r="17596" spans="9:10" x14ac:dyDescent="0.25">
      <c r="I17596" s="199"/>
      <c r="J17596" s="199"/>
    </row>
    <row r="17597" spans="9:10" x14ac:dyDescent="0.25">
      <c r="I17597" s="199"/>
      <c r="J17597" s="199"/>
    </row>
    <row r="17598" spans="9:10" x14ac:dyDescent="0.25">
      <c r="I17598" s="199"/>
      <c r="J17598" s="199"/>
    </row>
    <row r="17599" spans="9:10" x14ac:dyDescent="0.25">
      <c r="I17599" s="199"/>
      <c r="J17599" s="199"/>
    </row>
    <row r="17600" spans="9:10" x14ac:dyDescent="0.25">
      <c r="I17600" s="199"/>
      <c r="J17600" s="199"/>
    </row>
    <row r="17601" spans="9:10" x14ac:dyDescent="0.25">
      <c r="I17601" s="199"/>
      <c r="J17601" s="199"/>
    </row>
    <row r="17602" spans="9:10" x14ac:dyDescent="0.25">
      <c r="I17602" s="199"/>
      <c r="J17602" s="199"/>
    </row>
    <row r="17603" spans="9:10" x14ac:dyDescent="0.25">
      <c r="I17603" s="199"/>
      <c r="J17603" s="199"/>
    </row>
    <row r="17604" spans="9:10" x14ac:dyDescent="0.25">
      <c r="I17604" s="199"/>
      <c r="J17604" s="199"/>
    </row>
    <row r="17605" spans="9:10" x14ac:dyDescent="0.25">
      <c r="I17605" s="199"/>
      <c r="J17605" s="199"/>
    </row>
    <row r="17606" spans="9:10" x14ac:dyDescent="0.25">
      <c r="I17606" s="199"/>
      <c r="J17606" s="199"/>
    </row>
    <row r="17607" spans="9:10" x14ac:dyDescent="0.25">
      <c r="I17607" s="199"/>
      <c r="J17607" s="199"/>
    </row>
    <row r="17608" spans="9:10" x14ac:dyDescent="0.25">
      <c r="I17608" s="199"/>
      <c r="J17608" s="199"/>
    </row>
    <row r="17609" spans="9:10" x14ac:dyDescent="0.25">
      <c r="I17609" s="199"/>
      <c r="J17609" s="199"/>
    </row>
    <row r="17610" spans="9:10" x14ac:dyDescent="0.25">
      <c r="I17610" s="199"/>
      <c r="J17610" s="199"/>
    </row>
    <row r="17611" spans="9:10" x14ac:dyDescent="0.25">
      <c r="I17611" s="199"/>
      <c r="J17611" s="199"/>
    </row>
    <row r="17612" spans="9:10" x14ac:dyDescent="0.25">
      <c r="I17612" s="199"/>
      <c r="J17612" s="199"/>
    </row>
    <row r="17613" spans="9:10" x14ac:dyDescent="0.25">
      <c r="I17613" s="199"/>
      <c r="J17613" s="199"/>
    </row>
    <row r="17614" spans="9:10" x14ac:dyDescent="0.25">
      <c r="I17614" s="199"/>
      <c r="J17614" s="199"/>
    </row>
    <row r="17615" spans="9:10" x14ac:dyDescent="0.25">
      <c r="I17615" s="199"/>
      <c r="J17615" s="199"/>
    </row>
    <row r="17616" spans="9:10" x14ac:dyDescent="0.25">
      <c r="I17616" s="199"/>
      <c r="J17616" s="199"/>
    </row>
    <row r="17617" spans="9:10" x14ac:dyDescent="0.25">
      <c r="I17617" s="199"/>
      <c r="J17617" s="199"/>
    </row>
    <row r="17618" spans="9:10" x14ac:dyDescent="0.25">
      <c r="I17618" s="199"/>
      <c r="J17618" s="199"/>
    </row>
    <row r="17619" spans="9:10" x14ac:dyDescent="0.25">
      <c r="I17619" s="199"/>
      <c r="J17619" s="199"/>
    </row>
    <row r="17620" spans="9:10" x14ac:dyDescent="0.25">
      <c r="I17620" s="199"/>
      <c r="J17620" s="199"/>
    </row>
    <row r="17621" spans="9:10" x14ac:dyDescent="0.25">
      <c r="I17621" s="199"/>
      <c r="J17621" s="199"/>
    </row>
    <row r="17622" spans="9:10" x14ac:dyDescent="0.25">
      <c r="I17622" s="199"/>
      <c r="J17622" s="199"/>
    </row>
    <row r="17623" spans="9:10" x14ac:dyDescent="0.25">
      <c r="I17623" s="199"/>
      <c r="J17623" s="199"/>
    </row>
    <row r="17624" spans="9:10" x14ac:dyDescent="0.25">
      <c r="I17624" s="199"/>
      <c r="J17624" s="199"/>
    </row>
    <row r="17625" spans="9:10" x14ac:dyDescent="0.25">
      <c r="I17625" s="199"/>
      <c r="J17625" s="199"/>
    </row>
    <row r="17626" spans="9:10" x14ac:dyDescent="0.25">
      <c r="I17626" s="199"/>
      <c r="J17626" s="199"/>
    </row>
    <row r="17627" spans="9:10" x14ac:dyDescent="0.25">
      <c r="I17627" s="199"/>
      <c r="J17627" s="199"/>
    </row>
    <row r="17628" spans="9:10" x14ac:dyDescent="0.25">
      <c r="I17628" s="199"/>
      <c r="J17628" s="199"/>
    </row>
    <row r="17629" spans="9:10" x14ac:dyDescent="0.25">
      <c r="I17629" s="199"/>
      <c r="J17629" s="199"/>
    </row>
    <row r="17630" spans="9:10" x14ac:dyDescent="0.25">
      <c r="I17630" s="199"/>
      <c r="J17630" s="199"/>
    </row>
    <row r="17631" spans="9:10" x14ac:dyDescent="0.25">
      <c r="I17631" s="199"/>
      <c r="J17631" s="199"/>
    </row>
    <row r="17632" spans="9:10" x14ac:dyDescent="0.25">
      <c r="I17632" s="199"/>
      <c r="J17632" s="199"/>
    </row>
    <row r="17633" spans="9:10" x14ac:dyDescent="0.25">
      <c r="I17633" s="199"/>
      <c r="J17633" s="199"/>
    </row>
    <row r="17634" spans="9:10" x14ac:dyDescent="0.25">
      <c r="I17634" s="199"/>
      <c r="J17634" s="199"/>
    </row>
    <row r="17635" spans="9:10" x14ac:dyDescent="0.25">
      <c r="I17635" s="199"/>
      <c r="J17635" s="199"/>
    </row>
    <row r="17636" spans="9:10" x14ac:dyDescent="0.25">
      <c r="I17636" s="199"/>
      <c r="J17636" s="199"/>
    </row>
    <row r="17637" spans="9:10" x14ac:dyDescent="0.25">
      <c r="I17637" s="199"/>
      <c r="J17637" s="199"/>
    </row>
    <row r="17638" spans="9:10" x14ac:dyDescent="0.25">
      <c r="I17638" s="199"/>
      <c r="J17638" s="199"/>
    </row>
    <row r="17639" spans="9:10" x14ac:dyDescent="0.25">
      <c r="I17639" s="199"/>
      <c r="J17639" s="199"/>
    </row>
    <row r="17640" spans="9:10" x14ac:dyDescent="0.25">
      <c r="I17640" s="199"/>
      <c r="J17640" s="199"/>
    </row>
    <row r="17641" spans="9:10" x14ac:dyDescent="0.25">
      <c r="I17641" s="199"/>
      <c r="J17641" s="199"/>
    </row>
    <row r="17642" spans="9:10" x14ac:dyDescent="0.25">
      <c r="I17642" s="199"/>
      <c r="J17642" s="199"/>
    </row>
    <row r="17643" spans="9:10" x14ac:dyDescent="0.25">
      <c r="I17643" s="199"/>
      <c r="J17643" s="199"/>
    </row>
    <row r="17644" spans="9:10" x14ac:dyDescent="0.25">
      <c r="I17644" s="199"/>
      <c r="J17644" s="199"/>
    </row>
    <row r="17645" spans="9:10" x14ac:dyDescent="0.25">
      <c r="I17645" s="199"/>
      <c r="J17645" s="199"/>
    </row>
    <row r="17646" spans="9:10" x14ac:dyDescent="0.25">
      <c r="I17646" s="199"/>
      <c r="J17646" s="199"/>
    </row>
    <row r="17647" spans="9:10" x14ac:dyDescent="0.25">
      <c r="I17647" s="199"/>
      <c r="J17647" s="199"/>
    </row>
    <row r="17648" spans="9:10" x14ac:dyDescent="0.25">
      <c r="I17648" s="199"/>
      <c r="J17648" s="199"/>
    </row>
    <row r="17649" spans="9:10" x14ac:dyDescent="0.25">
      <c r="I17649" s="199"/>
      <c r="J17649" s="199"/>
    </row>
    <row r="17650" spans="9:10" x14ac:dyDescent="0.25">
      <c r="I17650" s="199"/>
      <c r="J17650" s="199"/>
    </row>
    <row r="17651" spans="9:10" x14ac:dyDescent="0.25">
      <c r="I17651" s="199"/>
      <c r="J17651" s="199"/>
    </row>
    <row r="17652" spans="9:10" x14ac:dyDescent="0.25">
      <c r="I17652" s="199"/>
      <c r="J17652" s="199"/>
    </row>
    <row r="17653" spans="9:10" x14ac:dyDescent="0.25">
      <c r="I17653" s="199"/>
      <c r="J17653" s="199"/>
    </row>
    <row r="17654" spans="9:10" x14ac:dyDescent="0.25">
      <c r="I17654" s="199"/>
      <c r="J17654" s="199"/>
    </row>
    <row r="17655" spans="9:10" x14ac:dyDescent="0.25">
      <c r="I17655" s="199"/>
      <c r="J17655" s="199"/>
    </row>
    <row r="17656" spans="9:10" x14ac:dyDescent="0.25">
      <c r="I17656" s="199"/>
      <c r="J17656" s="199"/>
    </row>
    <row r="17657" spans="9:10" x14ac:dyDescent="0.25">
      <c r="I17657" s="199"/>
      <c r="J17657" s="199"/>
    </row>
    <row r="17658" spans="9:10" x14ac:dyDescent="0.25">
      <c r="I17658" s="199"/>
      <c r="J17658" s="199"/>
    </row>
    <row r="17659" spans="9:10" x14ac:dyDescent="0.25">
      <c r="I17659" s="199"/>
      <c r="J17659" s="199"/>
    </row>
    <row r="17660" spans="9:10" x14ac:dyDescent="0.25">
      <c r="I17660" s="199"/>
      <c r="J17660" s="199"/>
    </row>
    <row r="17661" spans="9:10" x14ac:dyDescent="0.25">
      <c r="I17661" s="199"/>
      <c r="J17661" s="199"/>
    </row>
    <row r="17662" spans="9:10" x14ac:dyDescent="0.25">
      <c r="I17662" s="199"/>
      <c r="J17662" s="199"/>
    </row>
    <row r="17663" spans="9:10" x14ac:dyDescent="0.25">
      <c r="I17663" s="199"/>
      <c r="J17663" s="199"/>
    </row>
    <row r="17664" spans="9:10" x14ac:dyDescent="0.25">
      <c r="I17664" s="199"/>
      <c r="J17664" s="199"/>
    </row>
    <row r="17665" spans="9:10" x14ac:dyDescent="0.25">
      <c r="I17665" s="199"/>
      <c r="J17665" s="199"/>
    </row>
    <row r="17666" spans="9:10" x14ac:dyDescent="0.25">
      <c r="I17666" s="199"/>
      <c r="J17666" s="199"/>
    </row>
    <row r="17667" spans="9:10" x14ac:dyDescent="0.25">
      <c r="I17667" s="199"/>
      <c r="J17667" s="199"/>
    </row>
    <row r="17668" spans="9:10" x14ac:dyDescent="0.25">
      <c r="I17668" s="199"/>
      <c r="J17668" s="199"/>
    </row>
    <row r="17669" spans="9:10" x14ac:dyDescent="0.25">
      <c r="I17669" s="199"/>
      <c r="J17669" s="199"/>
    </row>
    <row r="17670" spans="9:10" x14ac:dyDescent="0.25">
      <c r="I17670" s="199"/>
      <c r="J17670" s="199"/>
    </row>
    <row r="17671" spans="9:10" x14ac:dyDescent="0.25">
      <c r="I17671" s="199"/>
      <c r="J17671" s="199"/>
    </row>
    <row r="17672" spans="9:10" x14ac:dyDescent="0.25">
      <c r="I17672" s="199"/>
      <c r="J17672" s="199"/>
    </row>
    <row r="17673" spans="9:10" x14ac:dyDescent="0.25">
      <c r="I17673" s="199"/>
      <c r="J17673" s="199"/>
    </row>
    <row r="17674" spans="9:10" x14ac:dyDescent="0.25">
      <c r="I17674" s="199"/>
      <c r="J17674" s="199"/>
    </row>
    <row r="17675" spans="9:10" x14ac:dyDescent="0.25">
      <c r="I17675" s="199"/>
      <c r="J17675" s="199"/>
    </row>
    <row r="17676" spans="9:10" x14ac:dyDescent="0.25">
      <c r="I17676" s="199"/>
      <c r="J17676" s="199"/>
    </row>
    <row r="17677" spans="9:10" x14ac:dyDescent="0.25">
      <c r="I17677" s="199"/>
      <c r="J17677" s="199"/>
    </row>
    <row r="17678" spans="9:10" x14ac:dyDescent="0.25">
      <c r="I17678" s="199"/>
      <c r="J17678" s="199"/>
    </row>
    <row r="17679" spans="9:10" x14ac:dyDescent="0.25">
      <c r="I17679" s="199"/>
      <c r="J17679" s="199"/>
    </row>
    <row r="17680" spans="9:10" x14ac:dyDescent="0.25">
      <c r="I17680" s="199"/>
      <c r="J17680" s="199"/>
    </row>
    <row r="17681" spans="9:10" x14ac:dyDescent="0.25">
      <c r="I17681" s="199"/>
      <c r="J17681" s="199"/>
    </row>
    <row r="17682" spans="9:10" x14ac:dyDescent="0.25">
      <c r="I17682" s="199"/>
      <c r="J17682" s="199"/>
    </row>
    <row r="17683" spans="9:10" x14ac:dyDescent="0.25">
      <c r="I17683" s="199"/>
      <c r="J17683" s="199"/>
    </row>
    <row r="17684" spans="9:10" x14ac:dyDescent="0.25">
      <c r="I17684" s="199"/>
      <c r="J17684" s="199"/>
    </row>
    <row r="17685" spans="9:10" x14ac:dyDescent="0.25">
      <c r="I17685" s="199"/>
      <c r="J17685" s="199"/>
    </row>
    <row r="17686" spans="9:10" x14ac:dyDescent="0.25">
      <c r="I17686" s="199"/>
      <c r="J17686" s="199"/>
    </row>
    <row r="17687" spans="9:10" x14ac:dyDescent="0.25">
      <c r="I17687" s="199"/>
      <c r="J17687" s="199"/>
    </row>
    <row r="17688" spans="9:10" x14ac:dyDescent="0.25">
      <c r="I17688" s="199"/>
      <c r="J17688" s="199"/>
    </row>
    <row r="17689" spans="9:10" x14ac:dyDescent="0.25">
      <c r="I17689" s="199"/>
      <c r="J17689" s="199"/>
    </row>
    <row r="17690" spans="9:10" x14ac:dyDescent="0.25">
      <c r="I17690" s="199"/>
      <c r="J17690" s="199"/>
    </row>
    <row r="17691" spans="9:10" x14ac:dyDescent="0.25">
      <c r="I17691" s="199"/>
      <c r="J17691" s="199"/>
    </row>
    <row r="17692" spans="9:10" x14ac:dyDescent="0.25">
      <c r="I17692" s="199"/>
      <c r="J17692" s="199"/>
    </row>
    <row r="17693" spans="9:10" x14ac:dyDescent="0.25">
      <c r="I17693" s="199"/>
      <c r="J17693" s="199"/>
    </row>
    <row r="17694" spans="9:10" x14ac:dyDescent="0.25">
      <c r="I17694" s="199"/>
      <c r="J17694" s="199"/>
    </row>
    <row r="17695" spans="9:10" x14ac:dyDescent="0.25">
      <c r="I17695" s="199"/>
      <c r="J17695" s="199"/>
    </row>
    <row r="17696" spans="9:10" x14ac:dyDescent="0.25">
      <c r="I17696" s="199"/>
      <c r="J17696" s="199"/>
    </row>
    <row r="17697" spans="9:10" x14ac:dyDescent="0.25">
      <c r="I17697" s="199"/>
      <c r="J17697" s="199"/>
    </row>
    <row r="17698" spans="9:10" x14ac:dyDescent="0.25">
      <c r="I17698" s="199"/>
      <c r="J17698" s="199"/>
    </row>
    <row r="17699" spans="9:10" x14ac:dyDescent="0.25">
      <c r="I17699" s="199"/>
      <c r="J17699" s="199"/>
    </row>
    <row r="17700" spans="9:10" x14ac:dyDescent="0.25">
      <c r="I17700" s="199"/>
      <c r="J17700" s="199"/>
    </row>
    <row r="17701" spans="9:10" x14ac:dyDescent="0.25">
      <c r="I17701" s="199"/>
      <c r="J17701" s="199"/>
    </row>
    <row r="17702" spans="9:10" x14ac:dyDescent="0.25">
      <c r="I17702" s="199"/>
      <c r="J17702" s="199"/>
    </row>
    <row r="17703" spans="9:10" x14ac:dyDescent="0.25">
      <c r="I17703" s="199"/>
      <c r="J17703" s="199"/>
    </row>
    <row r="17704" spans="9:10" x14ac:dyDescent="0.25">
      <c r="I17704" s="199"/>
      <c r="J17704" s="199"/>
    </row>
    <row r="17705" spans="9:10" x14ac:dyDescent="0.25">
      <c r="I17705" s="199"/>
      <c r="J17705" s="199"/>
    </row>
    <row r="17706" spans="9:10" x14ac:dyDescent="0.25">
      <c r="I17706" s="199"/>
      <c r="J17706" s="199"/>
    </row>
    <row r="17707" spans="9:10" x14ac:dyDescent="0.25">
      <c r="I17707" s="199"/>
      <c r="J17707" s="199"/>
    </row>
    <row r="17708" spans="9:10" x14ac:dyDescent="0.25">
      <c r="I17708" s="199"/>
      <c r="J17708" s="199"/>
    </row>
    <row r="17709" spans="9:10" x14ac:dyDescent="0.25">
      <c r="I17709" s="199"/>
      <c r="J17709" s="199"/>
    </row>
    <row r="17710" spans="9:10" x14ac:dyDescent="0.25">
      <c r="I17710" s="199"/>
      <c r="J17710" s="199"/>
    </row>
    <row r="17711" spans="9:10" x14ac:dyDescent="0.25">
      <c r="I17711" s="199"/>
      <c r="J17711" s="199"/>
    </row>
    <row r="17712" spans="9:10" x14ac:dyDescent="0.25">
      <c r="I17712" s="199"/>
      <c r="J17712" s="199"/>
    </row>
    <row r="17713" spans="9:10" x14ac:dyDescent="0.25">
      <c r="I17713" s="199"/>
      <c r="J17713" s="199"/>
    </row>
    <row r="17714" spans="9:10" x14ac:dyDescent="0.25">
      <c r="I17714" s="199"/>
      <c r="J17714" s="199"/>
    </row>
    <row r="17715" spans="9:10" x14ac:dyDescent="0.25">
      <c r="I17715" s="199"/>
      <c r="J17715" s="199"/>
    </row>
    <row r="17716" spans="9:10" x14ac:dyDescent="0.25">
      <c r="I17716" s="199"/>
      <c r="J17716" s="199"/>
    </row>
    <row r="17717" spans="9:10" x14ac:dyDescent="0.25">
      <c r="I17717" s="199"/>
      <c r="J17717" s="199"/>
    </row>
    <row r="17718" spans="9:10" x14ac:dyDescent="0.25">
      <c r="I17718" s="199"/>
      <c r="J17718" s="199"/>
    </row>
    <row r="17719" spans="9:10" x14ac:dyDescent="0.25">
      <c r="I17719" s="199"/>
      <c r="J17719" s="199"/>
    </row>
    <row r="17720" spans="9:10" x14ac:dyDescent="0.25">
      <c r="I17720" s="199"/>
      <c r="J17720" s="199"/>
    </row>
    <row r="17721" spans="9:10" x14ac:dyDescent="0.25">
      <c r="I17721" s="199"/>
      <c r="J17721" s="199"/>
    </row>
    <row r="17722" spans="9:10" x14ac:dyDescent="0.25">
      <c r="I17722" s="199"/>
      <c r="J17722" s="199"/>
    </row>
    <row r="17723" spans="9:10" x14ac:dyDescent="0.25">
      <c r="I17723" s="199"/>
      <c r="J17723" s="199"/>
    </row>
    <row r="17724" spans="9:10" x14ac:dyDescent="0.25">
      <c r="I17724" s="199"/>
      <c r="J17724" s="199"/>
    </row>
    <row r="17725" spans="9:10" x14ac:dyDescent="0.25">
      <c r="I17725" s="199"/>
      <c r="J17725" s="199"/>
    </row>
    <row r="17726" spans="9:10" x14ac:dyDescent="0.25">
      <c r="I17726" s="199"/>
      <c r="J17726" s="199"/>
    </row>
    <row r="17727" spans="9:10" x14ac:dyDescent="0.25">
      <c r="I17727" s="199"/>
      <c r="J17727" s="199"/>
    </row>
    <row r="17728" spans="9:10" x14ac:dyDescent="0.25">
      <c r="I17728" s="199"/>
      <c r="J17728" s="199"/>
    </row>
    <row r="17729" spans="9:10" x14ac:dyDescent="0.25">
      <c r="I17729" s="199"/>
      <c r="J17729" s="199"/>
    </row>
    <row r="17730" spans="9:10" x14ac:dyDescent="0.25">
      <c r="I17730" s="199"/>
      <c r="J17730" s="199"/>
    </row>
    <row r="17731" spans="9:10" x14ac:dyDescent="0.25">
      <c r="I17731" s="199"/>
      <c r="J17731" s="199"/>
    </row>
    <row r="17732" spans="9:10" x14ac:dyDescent="0.25">
      <c r="I17732" s="199"/>
      <c r="J17732" s="199"/>
    </row>
    <row r="17733" spans="9:10" x14ac:dyDescent="0.25">
      <c r="I17733" s="199"/>
      <c r="J17733" s="199"/>
    </row>
    <row r="17734" spans="9:10" x14ac:dyDescent="0.25">
      <c r="I17734" s="199"/>
      <c r="J17734" s="199"/>
    </row>
    <row r="17735" spans="9:10" x14ac:dyDescent="0.25">
      <c r="I17735" s="199"/>
      <c r="J17735" s="199"/>
    </row>
    <row r="17736" spans="9:10" x14ac:dyDescent="0.25">
      <c r="I17736" s="199"/>
      <c r="J17736" s="199"/>
    </row>
    <row r="17737" spans="9:10" x14ac:dyDescent="0.25">
      <c r="I17737" s="199"/>
      <c r="J17737" s="199"/>
    </row>
    <row r="17738" spans="9:10" x14ac:dyDescent="0.25">
      <c r="I17738" s="199"/>
      <c r="J17738" s="199"/>
    </row>
    <row r="17739" spans="9:10" x14ac:dyDescent="0.25">
      <c r="I17739" s="199"/>
      <c r="J17739" s="199"/>
    </row>
    <row r="17740" spans="9:10" x14ac:dyDescent="0.25">
      <c r="I17740" s="199"/>
      <c r="J17740" s="199"/>
    </row>
    <row r="17741" spans="9:10" x14ac:dyDescent="0.25">
      <c r="I17741" s="199"/>
      <c r="J17741" s="199"/>
    </row>
    <row r="17742" spans="9:10" x14ac:dyDescent="0.25">
      <c r="I17742" s="199"/>
      <c r="J17742" s="199"/>
    </row>
    <row r="17743" spans="9:10" x14ac:dyDescent="0.25">
      <c r="I17743" s="199"/>
      <c r="J17743" s="199"/>
    </row>
    <row r="17744" spans="9:10" x14ac:dyDescent="0.25">
      <c r="I17744" s="199"/>
      <c r="J17744" s="199"/>
    </row>
    <row r="17745" spans="9:10" x14ac:dyDescent="0.25">
      <c r="I17745" s="199"/>
      <c r="J17745" s="199"/>
    </row>
    <row r="17746" spans="9:10" x14ac:dyDescent="0.25">
      <c r="I17746" s="199"/>
      <c r="J17746" s="199"/>
    </row>
    <row r="17747" spans="9:10" x14ac:dyDescent="0.25">
      <c r="I17747" s="199"/>
      <c r="J17747" s="199"/>
    </row>
    <row r="17748" spans="9:10" x14ac:dyDescent="0.25">
      <c r="I17748" s="199"/>
      <c r="J17748" s="199"/>
    </row>
    <row r="17749" spans="9:10" x14ac:dyDescent="0.25">
      <c r="I17749" s="199"/>
      <c r="J17749" s="199"/>
    </row>
    <row r="17750" spans="9:10" x14ac:dyDescent="0.25">
      <c r="I17750" s="199"/>
      <c r="J17750" s="199"/>
    </row>
    <row r="17751" spans="9:10" x14ac:dyDescent="0.25">
      <c r="I17751" s="199"/>
      <c r="J17751" s="199"/>
    </row>
    <row r="17752" spans="9:10" x14ac:dyDescent="0.25">
      <c r="I17752" s="199"/>
      <c r="J17752" s="199"/>
    </row>
    <row r="17753" spans="9:10" x14ac:dyDescent="0.25">
      <c r="I17753" s="199"/>
      <c r="J17753" s="199"/>
    </row>
    <row r="17754" spans="9:10" x14ac:dyDescent="0.25">
      <c r="I17754" s="199"/>
      <c r="J17754" s="199"/>
    </row>
    <row r="17755" spans="9:10" x14ac:dyDescent="0.25">
      <c r="I17755" s="199"/>
      <c r="J17755" s="199"/>
    </row>
    <row r="17756" spans="9:10" x14ac:dyDescent="0.25">
      <c r="I17756" s="199"/>
      <c r="J17756" s="199"/>
    </row>
    <row r="17757" spans="9:10" x14ac:dyDescent="0.25">
      <c r="I17757" s="199"/>
      <c r="J17757" s="199"/>
    </row>
    <row r="17758" spans="9:10" x14ac:dyDescent="0.25">
      <c r="I17758" s="199"/>
      <c r="J17758" s="199"/>
    </row>
    <row r="17759" spans="9:10" x14ac:dyDescent="0.25">
      <c r="I17759" s="199"/>
      <c r="J17759" s="199"/>
    </row>
    <row r="17760" spans="9:10" x14ac:dyDescent="0.25">
      <c r="I17760" s="199"/>
      <c r="J17760" s="199"/>
    </row>
    <row r="17761" spans="9:10" x14ac:dyDescent="0.25">
      <c r="I17761" s="199"/>
      <c r="J17761" s="199"/>
    </row>
    <row r="17762" spans="9:10" x14ac:dyDescent="0.25">
      <c r="I17762" s="199"/>
      <c r="J17762" s="199"/>
    </row>
    <row r="17763" spans="9:10" x14ac:dyDescent="0.25">
      <c r="I17763" s="199"/>
      <c r="J17763" s="199"/>
    </row>
    <row r="17764" spans="9:10" x14ac:dyDescent="0.25">
      <c r="I17764" s="199"/>
      <c r="J17764" s="199"/>
    </row>
    <row r="17765" spans="9:10" x14ac:dyDescent="0.25">
      <c r="I17765" s="199"/>
      <c r="J17765" s="199"/>
    </row>
    <row r="17766" spans="9:10" x14ac:dyDescent="0.25">
      <c r="I17766" s="199"/>
      <c r="J17766" s="199"/>
    </row>
    <row r="17767" spans="9:10" x14ac:dyDescent="0.25">
      <c r="I17767" s="199"/>
      <c r="J17767" s="199"/>
    </row>
    <row r="17768" spans="9:10" x14ac:dyDescent="0.25">
      <c r="I17768" s="199"/>
      <c r="J17768" s="199"/>
    </row>
    <row r="17769" spans="9:10" x14ac:dyDescent="0.25">
      <c r="I17769" s="199"/>
      <c r="J17769" s="199"/>
    </row>
    <row r="17770" spans="9:10" x14ac:dyDescent="0.25">
      <c r="I17770" s="199"/>
      <c r="J17770" s="199"/>
    </row>
    <row r="17771" spans="9:10" x14ac:dyDescent="0.25">
      <c r="I17771" s="199"/>
      <c r="J17771" s="199"/>
    </row>
    <row r="17772" spans="9:10" x14ac:dyDescent="0.25">
      <c r="I17772" s="199"/>
      <c r="J17772" s="199"/>
    </row>
    <row r="17773" spans="9:10" x14ac:dyDescent="0.25">
      <c r="I17773" s="199"/>
      <c r="J17773" s="199"/>
    </row>
    <row r="17774" spans="9:10" x14ac:dyDescent="0.25">
      <c r="I17774" s="199"/>
      <c r="J17774" s="199"/>
    </row>
    <row r="17775" spans="9:10" x14ac:dyDescent="0.25">
      <c r="I17775" s="199"/>
      <c r="J17775" s="199"/>
    </row>
    <row r="17776" spans="9:10" x14ac:dyDescent="0.25">
      <c r="I17776" s="199"/>
      <c r="J17776" s="199"/>
    </row>
    <row r="17777" spans="9:10" x14ac:dyDescent="0.25">
      <c r="I17777" s="199"/>
      <c r="J17777" s="199"/>
    </row>
    <row r="17778" spans="9:10" x14ac:dyDescent="0.25">
      <c r="I17778" s="199"/>
      <c r="J17778" s="199"/>
    </row>
    <row r="17779" spans="9:10" x14ac:dyDescent="0.25">
      <c r="I17779" s="199"/>
      <c r="J17779" s="199"/>
    </row>
    <row r="17780" spans="9:10" x14ac:dyDescent="0.25">
      <c r="I17780" s="199"/>
      <c r="J17780" s="199"/>
    </row>
    <row r="17781" spans="9:10" x14ac:dyDescent="0.25">
      <c r="I17781" s="199"/>
      <c r="J17781" s="199"/>
    </row>
    <row r="17782" spans="9:10" x14ac:dyDescent="0.25">
      <c r="I17782" s="199"/>
      <c r="J17782" s="199"/>
    </row>
    <row r="17783" spans="9:10" x14ac:dyDescent="0.25">
      <c r="I17783" s="199"/>
      <c r="J17783" s="199"/>
    </row>
    <row r="17784" spans="9:10" x14ac:dyDescent="0.25">
      <c r="I17784" s="199"/>
      <c r="J17784" s="199"/>
    </row>
    <row r="17785" spans="9:10" x14ac:dyDescent="0.25">
      <c r="I17785" s="199"/>
      <c r="J17785" s="199"/>
    </row>
    <row r="17786" spans="9:10" x14ac:dyDescent="0.25">
      <c r="I17786" s="199"/>
      <c r="J17786" s="199"/>
    </row>
    <row r="17787" spans="9:10" x14ac:dyDescent="0.25">
      <c r="I17787" s="199"/>
      <c r="J17787" s="199"/>
    </row>
    <row r="17788" spans="9:10" x14ac:dyDescent="0.25">
      <c r="I17788" s="199"/>
      <c r="J17788" s="199"/>
    </row>
    <row r="17789" spans="9:10" x14ac:dyDescent="0.25">
      <c r="I17789" s="199"/>
      <c r="J17789" s="199"/>
    </row>
    <row r="17790" spans="9:10" x14ac:dyDescent="0.25">
      <c r="I17790" s="199"/>
      <c r="J17790" s="199"/>
    </row>
    <row r="17791" spans="9:10" x14ac:dyDescent="0.25">
      <c r="I17791" s="199"/>
      <c r="J17791" s="199"/>
    </row>
    <row r="17792" spans="9:10" x14ac:dyDescent="0.25">
      <c r="I17792" s="199"/>
      <c r="J17792" s="199"/>
    </row>
    <row r="17793" spans="9:10" x14ac:dyDescent="0.25">
      <c r="I17793" s="199"/>
      <c r="J17793" s="199"/>
    </row>
    <row r="17794" spans="9:10" x14ac:dyDescent="0.25">
      <c r="I17794" s="199"/>
      <c r="J17794" s="199"/>
    </row>
    <row r="17795" spans="9:10" x14ac:dyDescent="0.25">
      <c r="I17795" s="199"/>
      <c r="J17795" s="199"/>
    </row>
    <row r="17796" spans="9:10" x14ac:dyDescent="0.25">
      <c r="I17796" s="199"/>
      <c r="J17796" s="199"/>
    </row>
    <row r="17797" spans="9:10" x14ac:dyDescent="0.25">
      <c r="I17797" s="199"/>
      <c r="J17797" s="199"/>
    </row>
    <row r="17798" spans="9:10" x14ac:dyDescent="0.25">
      <c r="I17798" s="199"/>
      <c r="J17798" s="199"/>
    </row>
    <row r="17799" spans="9:10" x14ac:dyDescent="0.25">
      <c r="I17799" s="199"/>
      <c r="J17799" s="199"/>
    </row>
    <row r="17800" spans="9:10" x14ac:dyDescent="0.25">
      <c r="I17800" s="199"/>
      <c r="J17800" s="199"/>
    </row>
    <row r="17801" spans="9:10" x14ac:dyDescent="0.25">
      <c r="I17801" s="199"/>
      <c r="J17801" s="199"/>
    </row>
    <row r="17802" spans="9:10" x14ac:dyDescent="0.25">
      <c r="I17802" s="199"/>
      <c r="J17802" s="199"/>
    </row>
    <row r="17803" spans="9:10" x14ac:dyDescent="0.25">
      <c r="I17803" s="199"/>
      <c r="J17803" s="199"/>
    </row>
    <row r="17804" spans="9:10" x14ac:dyDescent="0.25">
      <c r="I17804" s="199"/>
      <c r="J17804" s="199"/>
    </row>
    <row r="17805" spans="9:10" x14ac:dyDescent="0.25">
      <c r="I17805" s="199"/>
      <c r="J17805" s="199"/>
    </row>
    <row r="17806" spans="9:10" x14ac:dyDescent="0.25">
      <c r="I17806" s="199"/>
      <c r="J17806" s="199"/>
    </row>
    <row r="17807" spans="9:10" x14ac:dyDescent="0.25">
      <c r="I17807" s="199"/>
      <c r="J17807" s="199"/>
    </row>
    <row r="17808" spans="9:10" x14ac:dyDescent="0.25">
      <c r="I17808" s="199"/>
      <c r="J17808" s="199"/>
    </row>
    <row r="17809" spans="9:10" x14ac:dyDescent="0.25">
      <c r="I17809" s="199"/>
      <c r="J17809" s="199"/>
    </row>
    <row r="17810" spans="9:10" x14ac:dyDescent="0.25">
      <c r="I17810" s="199"/>
      <c r="J17810" s="199"/>
    </row>
    <row r="17811" spans="9:10" x14ac:dyDescent="0.25">
      <c r="I17811" s="199"/>
      <c r="J17811" s="199"/>
    </row>
    <row r="17812" spans="9:10" x14ac:dyDescent="0.25">
      <c r="I17812" s="199"/>
      <c r="J17812" s="199"/>
    </row>
    <row r="17813" spans="9:10" x14ac:dyDescent="0.25">
      <c r="I17813" s="199"/>
      <c r="J17813" s="199"/>
    </row>
    <row r="17814" spans="9:10" x14ac:dyDescent="0.25">
      <c r="I17814" s="199"/>
      <c r="J17814" s="199"/>
    </row>
    <row r="17815" spans="9:10" x14ac:dyDescent="0.25">
      <c r="I17815" s="199"/>
      <c r="J17815" s="199"/>
    </row>
    <row r="17816" spans="9:10" x14ac:dyDescent="0.25">
      <c r="I17816" s="199"/>
      <c r="J17816" s="199"/>
    </row>
    <row r="17817" spans="9:10" x14ac:dyDescent="0.25">
      <c r="I17817" s="199"/>
      <c r="J17817" s="199"/>
    </row>
    <row r="17818" spans="9:10" x14ac:dyDescent="0.25">
      <c r="I17818" s="199"/>
      <c r="J17818" s="199"/>
    </row>
    <row r="17819" spans="9:10" x14ac:dyDescent="0.25">
      <c r="I17819" s="199"/>
      <c r="J17819" s="199"/>
    </row>
    <row r="17820" spans="9:10" x14ac:dyDescent="0.25">
      <c r="I17820" s="199"/>
      <c r="J17820" s="199"/>
    </row>
    <row r="17821" spans="9:10" x14ac:dyDescent="0.25">
      <c r="I17821" s="199"/>
      <c r="J17821" s="199"/>
    </row>
    <row r="17822" spans="9:10" x14ac:dyDescent="0.25">
      <c r="I17822" s="199"/>
      <c r="J17822" s="199"/>
    </row>
    <row r="17823" spans="9:10" x14ac:dyDescent="0.25">
      <c r="I17823" s="199"/>
      <c r="J17823" s="199"/>
    </row>
    <row r="17824" spans="9:10" x14ac:dyDescent="0.25">
      <c r="I17824" s="199"/>
      <c r="J17824" s="199"/>
    </row>
    <row r="17825" spans="9:10" x14ac:dyDescent="0.25">
      <c r="I17825" s="199"/>
      <c r="J17825" s="199"/>
    </row>
    <row r="17826" spans="9:10" x14ac:dyDescent="0.25">
      <c r="I17826" s="199"/>
      <c r="J17826" s="199"/>
    </row>
    <row r="17827" spans="9:10" x14ac:dyDescent="0.25">
      <c r="I17827" s="199"/>
      <c r="J17827" s="199"/>
    </row>
    <row r="17828" spans="9:10" x14ac:dyDescent="0.25">
      <c r="I17828" s="199"/>
      <c r="J17828" s="199"/>
    </row>
    <row r="17829" spans="9:10" x14ac:dyDescent="0.25">
      <c r="I17829" s="199"/>
      <c r="J17829" s="199"/>
    </row>
    <row r="17830" spans="9:10" x14ac:dyDescent="0.25">
      <c r="I17830" s="199"/>
      <c r="J17830" s="199"/>
    </row>
    <row r="17831" spans="9:10" x14ac:dyDescent="0.25">
      <c r="I17831" s="199"/>
      <c r="J17831" s="199"/>
    </row>
    <row r="17832" spans="9:10" x14ac:dyDescent="0.25">
      <c r="I17832" s="199"/>
      <c r="J17832" s="199"/>
    </row>
    <row r="17833" spans="9:10" x14ac:dyDescent="0.25">
      <c r="I17833" s="199"/>
      <c r="J17833" s="199"/>
    </row>
    <row r="17834" spans="9:10" x14ac:dyDescent="0.25">
      <c r="I17834" s="199"/>
      <c r="J17834" s="199"/>
    </row>
    <row r="17835" spans="9:10" x14ac:dyDescent="0.25">
      <c r="I17835" s="199"/>
      <c r="J17835" s="199"/>
    </row>
    <row r="17836" spans="9:10" x14ac:dyDescent="0.25">
      <c r="I17836" s="199"/>
      <c r="J17836" s="199"/>
    </row>
    <row r="17837" spans="9:10" x14ac:dyDescent="0.25">
      <c r="I17837" s="199"/>
      <c r="J17837" s="199"/>
    </row>
    <row r="17838" spans="9:10" x14ac:dyDescent="0.25">
      <c r="I17838" s="199"/>
      <c r="J17838" s="199"/>
    </row>
    <row r="17839" spans="9:10" x14ac:dyDescent="0.25">
      <c r="I17839" s="199"/>
      <c r="J17839" s="199"/>
    </row>
    <row r="17840" spans="9:10" x14ac:dyDescent="0.25">
      <c r="I17840" s="199"/>
      <c r="J17840" s="199"/>
    </row>
    <row r="17841" spans="9:10" x14ac:dyDescent="0.25">
      <c r="I17841" s="199"/>
      <c r="J17841" s="199"/>
    </row>
    <row r="17842" spans="9:10" x14ac:dyDescent="0.25">
      <c r="I17842" s="199"/>
      <c r="J17842" s="199"/>
    </row>
    <row r="17843" spans="9:10" x14ac:dyDescent="0.25">
      <c r="I17843" s="199"/>
      <c r="J17843" s="199"/>
    </row>
    <row r="17844" spans="9:10" x14ac:dyDescent="0.25">
      <c r="I17844" s="199"/>
      <c r="J17844" s="199"/>
    </row>
    <row r="17845" spans="9:10" x14ac:dyDescent="0.25">
      <c r="I17845" s="199"/>
      <c r="J17845" s="199"/>
    </row>
    <row r="17846" spans="9:10" x14ac:dyDescent="0.25">
      <c r="I17846" s="199"/>
      <c r="J17846" s="199"/>
    </row>
    <row r="17847" spans="9:10" x14ac:dyDescent="0.25">
      <c r="I17847" s="199"/>
      <c r="J17847" s="199"/>
    </row>
    <row r="17848" spans="9:10" x14ac:dyDescent="0.25">
      <c r="I17848" s="199"/>
      <c r="J17848" s="199"/>
    </row>
    <row r="17849" spans="9:10" x14ac:dyDescent="0.25">
      <c r="I17849" s="199"/>
      <c r="J17849" s="199"/>
    </row>
    <row r="17850" spans="9:10" x14ac:dyDescent="0.25">
      <c r="I17850" s="199"/>
      <c r="J17850" s="199"/>
    </row>
    <row r="17851" spans="9:10" x14ac:dyDescent="0.25">
      <c r="I17851" s="199"/>
      <c r="J17851" s="199"/>
    </row>
    <row r="17852" spans="9:10" x14ac:dyDescent="0.25">
      <c r="I17852" s="199"/>
      <c r="J17852" s="199"/>
    </row>
    <row r="17853" spans="9:10" x14ac:dyDescent="0.25">
      <c r="I17853" s="199"/>
      <c r="J17853" s="199"/>
    </row>
    <row r="17854" spans="9:10" x14ac:dyDescent="0.25">
      <c r="I17854" s="199"/>
      <c r="J17854" s="199"/>
    </row>
    <row r="17855" spans="9:10" x14ac:dyDescent="0.25">
      <c r="I17855" s="199"/>
      <c r="J17855" s="199"/>
    </row>
    <row r="17856" spans="9:10" x14ac:dyDescent="0.25">
      <c r="I17856" s="199"/>
      <c r="J17856" s="199"/>
    </row>
    <row r="17857" spans="9:10" x14ac:dyDescent="0.25">
      <c r="I17857" s="199"/>
      <c r="J17857" s="199"/>
    </row>
    <row r="17858" spans="9:10" x14ac:dyDescent="0.25">
      <c r="I17858" s="199"/>
      <c r="J17858" s="199"/>
    </row>
    <row r="17859" spans="9:10" x14ac:dyDescent="0.25">
      <c r="I17859" s="199"/>
      <c r="J17859" s="199"/>
    </row>
    <row r="17860" spans="9:10" x14ac:dyDescent="0.25">
      <c r="I17860" s="199"/>
      <c r="J17860" s="199"/>
    </row>
    <row r="17861" spans="9:10" x14ac:dyDescent="0.25">
      <c r="I17861" s="199"/>
      <c r="J17861" s="199"/>
    </row>
    <row r="17862" spans="9:10" x14ac:dyDescent="0.25">
      <c r="I17862" s="199"/>
      <c r="J17862" s="199"/>
    </row>
    <row r="17863" spans="9:10" x14ac:dyDescent="0.25">
      <c r="I17863" s="199"/>
      <c r="J17863" s="199"/>
    </row>
    <row r="17864" spans="9:10" x14ac:dyDescent="0.25">
      <c r="I17864" s="199"/>
      <c r="J17864" s="199"/>
    </row>
    <row r="17865" spans="9:10" x14ac:dyDescent="0.25">
      <c r="I17865" s="199"/>
      <c r="J17865" s="199"/>
    </row>
    <row r="17866" spans="9:10" x14ac:dyDescent="0.25">
      <c r="I17866" s="199"/>
      <c r="J17866" s="199"/>
    </row>
    <row r="17867" spans="9:10" x14ac:dyDescent="0.25">
      <c r="I17867" s="199"/>
      <c r="J17867" s="199"/>
    </row>
    <row r="17868" spans="9:10" x14ac:dyDescent="0.25">
      <c r="I17868" s="199"/>
      <c r="J17868" s="199"/>
    </row>
    <row r="17869" spans="9:10" x14ac:dyDescent="0.25">
      <c r="I17869" s="199"/>
      <c r="J17869" s="199"/>
    </row>
    <row r="17870" spans="9:10" x14ac:dyDescent="0.25">
      <c r="I17870" s="199"/>
      <c r="J17870" s="199"/>
    </row>
    <row r="17871" spans="9:10" x14ac:dyDescent="0.25">
      <c r="I17871" s="199"/>
      <c r="J17871" s="199"/>
    </row>
    <row r="17872" spans="9:10" x14ac:dyDescent="0.25">
      <c r="I17872" s="199"/>
      <c r="J17872" s="199"/>
    </row>
    <row r="17873" spans="9:10" x14ac:dyDescent="0.25">
      <c r="I17873" s="199"/>
      <c r="J17873" s="199"/>
    </row>
    <row r="17874" spans="9:10" x14ac:dyDescent="0.25">
      <c r="I17874" s="199"/>
      <c r="J17874" s="199"/>
    </row>
    <row r="17875" spans="9:10" x14ac:dyDescent="0.25">
      <c r="I17875" s="199"/>
      <c r="J17875" s="199"/>
    </row>
    <row r="17876" spans="9:10" x14ac:dyDescent="0.25">
      <c r="I17876" s="199"/>
      <c r="J17876" s="199"/>
    </row>
    <row r="17877" spans="9:10" x14ac:dyDescent="0.25">
      <c r="I17877" s="199"/>
      <c r="J17877" s="199"/>
    </row>
    <row r="17878" spans="9:10" x14ac:dyDescent="0.25">
      <c r="I17878" s="199"/>
      <c r="J17878" s="199"/>
    </row>
    <row r="17879" spans="9:10" x14ac:dyDescent="0.25">
      <c r="I17879" s="199"/>
      <c r="J17879" s="199"/>
    </row>
    <row r="17880" spans="9:10" x14ac:dyDescent="0.25">
      <c r="I17880" s="199"/>
      <c r="J17880" s="199"/>
    </row>
    <row r="17881" spans="9:10" x14ac:dyDescent="0.25">
      <c r="I17881" s="199"/>
      <c r="J17881" s="199"/>
    </row>
    <row r="17882" spans="9:10" x14ac:dyDescent="0.25">
      <c r="I17882" s="199"/>
      <c r="J17882" s="199"/>
    </row>
    <row r="17883" spans="9:10" x14ac:dyDescent="0.25">
      <c r="I17883" s="199"/>
      <c r="J17883" s="199"/>
    </row>
    <row r="17884" spans="9:10" x14ac:dyDescent="0.25">
      <c r="I17884" s="199"/>
      <c r="J17884" s="199"/>
    </row>
    <row r="17885" spans="9:10" x14ac:dyDescent="0.25">
      <c r="I17885" s="199"/>
      <c r="J17885" s="199"/>
    </row>
    <row r="17886" spans="9:10" x14ac:dyDescent="0.25">
      <c r="I17886" s="199"/>
      <c r="J17886" s="199"/>
    </row>
    <row r="17887" spans="9:10" x14ac:dyDescent="0.25">
      <c r="I17887" s="199"/>
      <c r="J17887" s="199"/>
    </row>
    <row r="17888" spans="9:10" x14ac:dyDescent="0.25">
      <c r="I17888" s="199"/>
      <c r="J17888" s="199"/>
    </row>
    <row r="17889" spans="9:10" x14ac:dyDescent="0.25">
      <c r="I17889" s="199"/>
      <c r="J17889" s="199"/>
    </row>
    <row r="17890" spans="9:10" x14ac:dyDescent="0.25">
      <c r="I17890" s="199"/>
      <c r="J17890" s="199"/>
    </row>
    <row r="17891" spans="9:10" x14ac:dyDescent="0.25">
      <c r="I17891" s="199"/>
      <c r="J17891" s="199"/>
    </row>
    <row r="17892" spans="9:10" x14ac:dyDescent="0.25">
      <c r="I17892" s="199"/>
      <c r="J17892" s="199"/>
    </row>
    <row r="17893" spans="9:10" x14ac:dyDescent="0.25">
      <c r="I17893" s="199"/>
      <c r="J17893" s="199"/>
    </row>
    <row r="17894" spans="9:10" x14ac:dyDescent="0.25">
      <c r="I17894" s="199"/>
      <c r="J17894" s="199"/>
    </row>
    <row r="17895" spans="9:10" x14ac:dyDescent="0.25">
      <c r="I17895" s="199"/>
      <c r="J17895" s="199"/>
    </row>
    <row r="17896" spans="9:10" x14ac:dyDescent="0.25">
      <c r="I17896" s="199"/>
      <c r="J17896" s="199"/>
    </row>
    <row r="17897" spans="9:10" x14ac:dyDescent="0.25">
      <c r="I17897" s="199"/>
      <c r="J17897" s="199"/>
    </row>
    <row r="17898" spans="9:10" x14ac:dyDescent="0.25">
      <c r="I17898" s="199"/>
      <c r="J17898" s="199"/>
    </row>
    <row r="17899" spans="9:10" x14ac:dyDescent="0.25">
      <c r="I17899" s="199"/>
      <c r="J17899" s="199"/>
    </row>
    <row r="17900" spans="9:10" x14ac:dyDescent="0.25">
      <c r="I17900" s="199"/>
      <c r="J17900" s="199"/>
    </row>
    <row r="17901" spans="9:10" x14ac:dyDescent="0.25">
      <c r="I17901" s="199"/>
      <c r="J17901" s="199"/>
    </row>
    <row r="17902" spans="9:10" x14ac:dyDescent="0.25">
      <c r="I17902" s="199"/>
      <c r="J17902" s="199"/>
    </row>
    <row r="17903" spans="9:10" x14ac:dyDescent="0.25">
      <c r="I17903" s="199"/>
      <c r="J17903" s="199"/>
    </row>
    <row r="17904" spans="9:10" x14ac:dyDescent="0.25">
      <c r="I17904" s="199"/>
      <c r="J17904" s="199"/>
    </row>
    <row r="17905" spans="9:10" x14ac:dyDescent="0.25">
      <c r="I17905" s="199"/>
      <c r="J17905" s="199"/>
    </row>
    <row r="17906" spans="9:10" x14ac:dyDescent="0.25">
      <c r="I17906" s="199"/>
      <c r="J17906" s="199"/>
    </row>
    <row r="17907" spans="9:10" x14ac:dyDescent="0.25">
      <c r="I17907" s="199"/>
      <c r="J17907" s="199"/>
    </row>
    <row r="17908" spans="9:10" x14ac:dyDescent="0.25">
      <c r="I17908" s="199"/>
      <c r="J17908" s="199"/>
    </row>
    <row r="17909" spans="9:10" x14ac:dyDescent="0.25">
      <c r="I17909" s="199"/>
      <c r="J17909" s="199"/>
    </row>
    <row r="17910" spans="9:10" x14ac:dyDescent="0.25">
      <c r="I17910" s="199"/>
      <c r="J17910" s="199"/>
    </row>
    <row r="17911" spans="9:10" x14ac:dyDescent="0.25">
      <c r="I17911" s="199"/>
      <c r="J17911" s="199"/>
    </row>
    <row r="17912" spans="9:10" x14ac:dyDescent="0.25">
      <c r="I17912" s="199"/>
      <c r="J17912" s="199"/>
    </row>
    <row r="17913" spans="9:10" x14ac:dyDescent="0.25">
      <c r="I17913" s="199"/>
      <c r="J17913" s="199"/>
    </row>
    <row r="17914" spans="9:10" x14ac:dyDescent="0.25">
      <c r="I17914" s="199"/>
      <c r="J17914" s="199"/>
    </row>
    <row r="17915" spans="9:10" x14ac:dyDescent="0.25">
      <c r="I17915" s="199"/>
      <c r="J17915" s="199"/>
    </row>
    <row r="17916" spans="9:10" x14ac:dyDescent="0.25">
      <c r="I17916" s="199"/>
      <c r="J17916" s="199"/>
    </row>
    <row r="17917" spans="9:10" x14ac:dyDescent="0.25">
      <c r="I17917" s="199"/>
      <c r="J17917" s="199"/>
    </row>
    <row r="17918" spans="9:10" x14ac:dyDescent="0.25">
      <c r="I17918" s="199"/>
      <c r="J17918" s="199"/>
    </row>
    <row r="17919" spans="9:10" x14ac:dyDescent="0.25">
      <c r="I17919" s="199"/>
      <c r="J17919" s="199"/>
    </row>
    <row r="17920" spans="9:10" x14ac:dyDescent="0.25">
      <c r="I17920" s="199"/>
      <c r="J17920" s="199"/>
    </row>
    <row r="17921" spans="9:10" x14ac:dyDescent="0.25">
      <c r="I17921" s="199"/>
      <c r="J17921" s="199"/>
    </row>
    <row r="17922" spans="9:10" x14ac:dyDescent="0.25">
      <c r="I17922" s="199"/>
      <c r="J17922" s="199"/>
    </row>
    <row r="17923" spans="9:10" x14ac:dyDescent="0.25">
      <c r="I17923" s="199"/>
      <c r="J17923" s="199"/>
    </row>
    <row r="17924" spans="9:10" x14ac:dyDescent="0.25">
      <c r="I17924" s="199"/>
      <c r="J17924" s="199"/>
    </row>
    <row r="17925" spans="9:10" x14ac:dyDescent="0.25">
      <c r="I17925" s="199"/>
      <c r="J17925" s="199"/>
    </row>
    <row r="17926" spans="9:10" x14ac:dyDescent="0.25">
      <c r="I17926" s="199"/>
      <c r="J17926" s="199"/>
    </row>
    <row r="17927" spans="9:10" x14ac:dyDescent="0.25">
      <c r="I17927" s="199"/>
      <c r="J17927" s="199"/>
    </row>
    <row r="17928" spans="9:10" x14ac:dyDescent="0.25">
      <c r="I17928" s="199"/>
      <c r="J17928" s="199"/>
    </row>
    <row r="17929" spans="9:10" x14ac:dyDescent="0.25">
      <c r="I17929" s="199"/>
      <c r="J17929" s="199"/>
    </row>
    <row r="17930" spans="9:10" x14ac:dyDescent="0.25">
      <c r="I17930" s="199"/>
      <c r="J17930" s="199"/>
    </row>
    <row r="17931" spans="9:10" x14ac:dyDescent="0.25">
      <c r="I17931" s="199"/>
      <c r="J17931" s="199"/>
    </row>
    <row r="17932" spans="9:10" x14ac:dyDescent="0.25">
      <c r="I17932" s="199"/>
      <c r="J17932" s="199"/>
    </row>
    <row r="17933" spans="9:10" x14ac:dyDescent="0.25">
      <c r="I17933" s="199"/>
      <c r="J17933" s="199"/>
    </row>
    <row r="17934" spans="9:10" x14ac:dyDescent="0.25">
      <c r="I17934" s="199"/>
      <c r="J17934" s="199"/>
    </row>
    <row r="17935" spans="9:10" x14ac:dyDescent="0.25">
      <c r="I17935" s="199"/>
      <c r="J17935" s="199"/>
    </row>
    <row r="17936" spans="9:10" x14ac:dyDescent="0.25">
      <c r="I17936" s="199"/>
      <c r="J17936" s="199"/>
    </row>
    <row r="17937" spans="9:10" x14ac:dyDescent="0.25">
      <c r="I17937" s="199"/>
      <c r="J17937" s="199"/>
    </row>
    <row r="17938" spans="9:10" x14ac:dyDescent="0.25">
      <c r="I17938" s="199"/>
      <c r="J17938" s="199"/>
    </row>
    <row r="17939" spans="9:10" x14ac:dyDescent="0.25">
      <c r="I17939" s="199"/>
      <c r="J17939" s="199"/>
    </row>
    <row r="17940" spans="9:10" x14ac:dyDescent="0.25">
      <c r="I17940" s="199"/>
      <c r="J17940" s="199"/>
    </row>
    <row r="17941" spans="9:10" x14ac:dyDescent="0.25">
      <c r="I17941" s="199"/>
      <c r="J17941" s="199"/>
    </row>
    <row r="17942" spans="9:10" x14ac:dyDescent="0.25">
      <c r="I17942" s="199"/>
      <c r="J17942" s="199"/>
    </row>
    <row r="17943" spans="9:10" x14ac:dyDescent="0.25">
      <c r="I17943" s="199"/>
      <c r="J17943" s="199"/>
    </row>
    <row r="17944" spans="9:10" x14ac:dyDescent="0.25">
      <c r="I17944" s="199"/>
      <c r="J17944" s="199"/>
    </row>
    <row r="17945" spans="9:10" x14ac:dyDescent="0.25">
      <c r="I17945" s="199"/>
      <c r="J17945" s="199"/>
    </row>
    <row r="17946" spans="9:10" x14ac:dyDescent="0.25">
      <c r="I17946" s="199"/>
      <c r="J17946" s="199"/>
    </row>
    <row r="17947" spans="9:10" x14ac:dyDescent="0.25">
      <c r="I17947" s="199"/>
      <c r="J17947" s="199"/>
    </row>
    <row r="17948" spans="9:10" x14ac:dyDescent="0.25">
      <c r="I17948" s="199"/>
      <c r="J17948" s="199"/>
    </row>
    <row r="17949" spans="9:10" x14ac:dyDescent="0.25">
      <c r="I17949" s="199"/>
      <c r="J17949" s="199"/>
    </row>
    <row r="17950" spans="9:10" x14ac:dyDescent="0.25">
      <c r="I17950" s="199"/>
      <c r="J17950" s="199"/>
    </row>
    <row r="17951" spans="9:10" x14ac:dyDescent="0.25">
      <c r="I17951" s="199"/>
      <c r="J17951" s="199"/>
    </row>
    <row r="17952" spans="9:10" x14ac:dyDescent="0.25">
      <c r="I17952" s="199"/>
      <c r="J17952" s="199"/>
    </row>
    <row r="17953" spans="9:10" x14ac:dyDescent="0.25">
      <c r="I17953" s="199"/>
      <c r="J17953" s="199"/>
    </row>
    <row r="17954" spans="9:10" x14ac:dyDescent="0.25">
      <c r="I17954" s="199"/>
      <c r="J17954" s="199"/>
    </row>
    <row r="17955" spans="9:10" x14ac:dyDescent="0.25">
      <c r="I17955" s="199"/>
      <c r="J17955" s="199"/>
    </row>
    <row r="17956" spans="9:10" x14ac:dyDescent="0.25">
      <c r="I17956" s="199"/>
      <c r="J17956" s="199"/>
    </row>
    <row r="17957" spans="9:10" x14ac:dyDescent="0.25">
      <c r="I17957" s="199"/>
      <c r="J17957" s="199"/>
    </row>
    <row r="17958" spans="9:10" x14ac:dyDescent="0.25">
      <c r="I17958" s="199"/>
      <c r="J17958" s="199"/>
    </row>
    <row r="17959" spans="9:10" x14ac:dyDescent="0.25">
      <c r="I17959" s="199"/>
      <c r="J17959" s="199"/>
    </row>
    <row r="17960" spans="9:10" x14ac:dyDescent="0.25">
      <c r="I17960" s="199"/>
      <c r="J17960" s="199"/>
    </row>
    <row r="17961" spans="9:10" x14ac:dyDescent="0.25">
      <c r="I17961" s="199"/>
      <c r="J17961" s="199"/>
    </row>
    <row r="17962" spans="9:10" x14ac:dyDescent="0.25">
      <c r="I17962" s="199"/>
      <c r="J17962" s="199"/>
    </row>
    <row r="17963" spans="9:10" x14ac:dyDescent="0.25">
      <c r="I17963" s="199"/>
      <c r="J17963" s="199"/>
    </row>
    <row r="17964" spans="9:10" x14ac:dyDescent="0.25">
      <c r="I17964" s="199"/>
      <c r="J17964" s="199"/>
    </row>
    <row r="17965" spans="9:10" x14ac:dyDescent="0.25">
      <c r="I17965" s="199"/>
      <c r="J17965" s="199"/>
    </row>
    <row r="17966" spans="9:10" x14ac:dyDescent="0.25">
      <c r="I17966" s="199"/>
      <c r="J17966" s="199"/>
    </row>
    <row r="17967" spans="9:10" x14ac:dyDescent="0.25">
      <c r="I17967" s="199"/>
      <c r="J17967" s="199"/>
    </row>
    <row r="17968" spans="9:10" x14ac:dyDescent="0.25">
      <c r="I17968" s="199"/>
      <c r="J17968" s="199"/>
    </row>
    <row r="17969" spans="9:10" x14ac:dyDescent="0.25">
      <c r="I17969" s="199"/>
      <c r="J17969" s="199"/>
    </row>
    <row r="17970" spans="9:10" x14ac:dyDescent="0.25">
      <c r="I17970" s="199"/>
      <c r="J17970" s="199"/>
    </row>
    <row r="17971" spans="9:10" x14ac:dyDescent="0.25">
      <c r="I17971" s="199"/>
      <c r="J17971" s="199"/>
    </row>
    <row r="17972" spans="9:10" x14ac:dyDescent="0.25">
      <c r="I17972" s="199"/>
      <c r="J17972" s="199"/>
    </row>
    <row r="17973" spans="9:10" x14ac:dyDescent="0.25">
      <c r="I17973" s="199"/>
      <c r="J17973" s="199"/>
    </row>
    <row r="17974" spans="9:10" x14ac:dyDescent="0.25">
      <c r="I17974" s="199"/>
      <c r="J17974" s="199"/>
    </row>
    <row r="17975" spans="9:10" x14ac:dyDescent="0.25">
      <c r="I17975" s="199"/>
      <c r="J17975" s="199"/>
    </row>
    <row r="17976" spans="9:10" x14ac:dyDescent="0.25">
      <c r="I17976" s="199"/>
      <c r="J17976" s="199"/>
    </row>
    <row r="17977" spans="9:10" x14ac:dyDescent="0.25">
      <c r="I17977" s="199"/>
      <c r="J17977" s="199"/>
    </row>
    <row r="17978" spans="9:10" x14ac:dyDescent="0.25">
      <c r="I17978" s="199"/>
      <c r="J17978" s="199"/>
    </row>
    <row r="17979" spans="9:10" x14ac:dyDescent="0.25">
      <c r="I17979" s="199"/>
      <c r="J17979" s="199"/>
    </row>
    <row r="17980" spans="9:10" x14ac:dyDescent="0.25">
      <c r="I17980" s="199"/>
      <c r="J17980" s="199"/>
    </row>
    <row r="17981" spans="9:10" x14ac:dyDescent="0.25">
      <c r="I17981" s="199"/>
      <c r="J17981" s="199"/>
    </row>
    <row r="17982" spans="9:10" x14ac:dyDescent="0.25">
      <c r="I17982" s="199"/>
      <c r="J17982" s="199"/>
    </row>
    <row r="17983" spans="9:10" x14ac:dyDescent="0.25">
      <c r="I17983" s="199"/>
      <c r="J17983" s="199"/>
    </row>
    <row r="17984" spans="9:10" x14ac:dyDescent="0.25">
      <c r="I17984" s="199"/>
      <c r="J17984" s="199"/>
    </row>
    <row r="17985" spans="9:10" x14ac:dyDescent="0.25">
      <c r="I17985" s="199"/>
      <c r="J17985" s="199"/>
    </row>
    <row r="17986" spans="9:10" x14ac:dyDescent="0.25">
      <c r="I17986" s="199"/>
      <c r="J17986" s="199"/>
    </row>
    <row r="17987" spans="9:10" x14ac:dyDescent="0.25">
      <c r="I17987" s="199"/>
      <c r="J17987" s="199"/>
    </row>
    <row r="17988" spans="9:10" x14ac:dyDescent="0.25">
      <c r="I17988" s="199"/>
      <c r="J17988" s="199"/>
    </row>
    <row r="17989" spans="9:10" x14ac:dyDescent="0.25">
      <c r="I17989" s="199"/>
      <c r="J17989" s="199"/>
    </row>
    <row r="17990" spans="9:10" x14ac:dyDescent="0.25">
      <c r="I17990" s="199"/>
      <c r="J17990" s="199"/>
    </row>
    <row r="17991" spans="9:10" x14ac:dyDescent="0.25">
      <c r="I17991" s="199"/>
      <c r="J17991" s="199"/>
    </row>
    <row r="17992" spans="9:10" x14ac:dyDescent="0.25">
      <c r="I17992" s="199"/>
      <c r="J17992" s="199"/>
    </row>
    <row r="17993" spans="9:10" x14ac:dyDescent="0.25">
      <c r="I17993" s="199"/>
      <c r="J17993" s="199"/>
    </row>
    <row r="17994" spans="9:10" x14ac:dyDescent="0.25">
      <c r="I17994" s="199"/>
      <c r="J17994" s="199"/>
    </row>
    <row r="17995" spans="9:10" x14ac:dyDescent="0.25">
      <c r="I17995" s="199"/>
      <c r="J17995" s="199"/>
    </row>
    <row r="17996" spans="9:10" x14ac:dyDescent="0.25">
      <c r="I17996" s="199"/>
      <c r="J17996" s="199"/>
    </row>
    <row r="17997" spans="9:10" x14ac:dyDescent="0.25">
      <c r="I17997" s="199"/>
      <c r="J17997" s="199"/>
    </row>
    <row r="17998" spans="9:10" x14ac:dyDescent="0.25">
      <c r="I17998" s="199"/>
      <c r="J17998" s="199"/>
    </row>
    <row r="17999" spans="9:10" x14ac:dyDescent="0.25">
      <c r="I17999" s="199"/>
      <c r="J17999" s="199"/>
    </row>
    <row r="18000" spans="9:10" x14ac:dyDescent="0.25">
      <c r="I18000" s="199"/>
      <c r="J18000" s="199"/>
    </row>
    <row r="18001" spans="9:10" x14ac:dyDescent="0.25">
      <c r="I18001" s="199"/>
      <c r="J18001" s="199"/>
    </row>
    <row r="18002" spans="9:10" x14ac:dyDescent="0.25">
      <c r="I18002" s="199"/>
      <c r="J18002" s="199"/>
    </row>
    <row r="18003" spans="9:10" x14ac:dyDescent="0.25">
      <c r="I18003" s="199"/>
      <c r="J18003" s="199"/>
    </row>
    <row r="18004" spans="9:10" x14ac:dyDescent="0.25">
      <c r="I18004" s="199"/>
      <c r="J18004" s="199"/>
    </row>
    <row r="18005" spans="9:10" x14ac:dyDescent="0.25">
      <c r="I18005" s="199"/>
      <c r="J18005" s="199"/>
    </row>
    <row r="18006" spans="9:10" x14ac:dyDescent="0.25">
      <c r="I18006" s="199"/>
      <c r="J18006" s="199"/>
    </row>
    <row r="18007" spans="9:10" x14ac:dyDescent="0.25">
      <c r="I18007" s="199"/>
      <c r="J18007" s="199"/>
    </row>
    <row r="18008" spans="9:10" x14ac:dyDescent="0.25">
      <c r="I18008" s="199"/>
      <c r="J18008" s="199"/>
    </row>
    <row r="18009" spans="9:10" x14ac:dyDescent="0.25">
      <c r="I18009" s="199"/>
      <c r="J18009" s="199"/>
    </row>
    <row r="18010" spans="9:10" x14ac:dyDescent="0.25">
      <c r="I18010" s="199"/>
      <c r="J18010" s="199"/>
    </row>
    <row r="18011" spans="9:10" x14ac:dyDescent="0.25">
      <c r="I18011" s="199"/>
      <c r="J18011" s="199"/>
    </row>
    <row r="18012" spans="9:10" x14ac:dyDescent="0.25">
      <c r="I18012" s="199"/>
      <c r="J18012" s="199"/>
    </row>
    <row r="18013" spans="9:10" x14ac:dyDescent="0.25">
      <c r="I18013" s="199"/>
      <c r="J18013" s="199"/>
    </row>
    <row r="18014" spans="9:10" x14ac:dyDescent="0.25">
      <c r="I18014" s="199"/>
      <c r="J18014" s="199"/>
    </row>
    <row r="18015" spans="9:10" x14ac:dyDescent="0.25">
      <c r="I18015" s="199"/>
      <c r="J18015" s="199"/>
    </row>
    <row r="18016" spans="9:10" x14ac:dyDescent="0.25">
      <c r="I18016" s="199"/>
      <c r="J18016" s="199"/>
    </row>
    <row r="18017" spans="9:10" x14ac:dyDescent="0.25">
      <c r="I18017" s="199"/>
      <c r="J18017" s="199"/>
    </row>
    <row r="18018" spans="9:10" x14ac:dyDescent="0.25">
      <c r="I18018" s="199"/>
      <c r="J18018" s="199"/>
    </row>
    <row r="18019" spans="9:10" x14ac:dyDescent="0.25">
      <c r="I18019" s="199"/>
      <c r="J18019" s="199"/>
    </row>
    <row r="18020" spans="9:10" x14ac:dyDescent="0.25">
      <c r="I18020" s="199"/>
      <c r="J18020" s="199"/>
    </row>
    <row r="18021" spans="9:10" x14ac:dyDescent="0.25">
      <c r="I18021" s="199"/>
      <c r="J18021" s="199"/>
    </row>
    <row r="18022" spans="9:10" x14ac:dyDescent="0.25">
      <c r="I18022" s="199"/>
      <c r="J18022" s="199"/>
    </row>
    <row r="18023" spans="9:10" x14ac:dyDescent="0.25">
      <c r="I18023" s="199"/>
      <c r="J18023" s="199"/>
    </row>
    <row r="18024" spans="9:10" x14ac:dyDescent="0.25">
      <c r="I18024" s="199"/>
      <c r="J18024" s="199"/>
    </row>
    <row r="18025" spans="9:10" x14ac:dyDescent="0.25">
      <c r="I18025" s="199"/>
      <c r="J18025" s="199"/>
    </row>
    <row r="18026" spans="9:10" x14ac:dyDescent="0.25">
      <c r="I18026" s="199"/>
      <c r="J18026" s="199"/>
    </row>
    <row r="18027" spans="9:10" x14ac:dyDescent="0.25">
      <c r="I18027" s="199"/>
      <c r="J18027" s="199"/>
    </row>
    <row r="18028" spans="9:10" x14ac:dyDescent="0.25">
      <c r="I18028" s="199"/>
      <c r="J18028" s="199"/>
    </row>
    <row r="18029" spans="9:10" x14ac:dyDescent="0.25">
      <c r="I18029" s="199"/>
      <c r="J18029" s="199"/>
    </row>
    <row r="18030" spans="9:10" x14ac:dyDescent="0.25">
      <c r="I18030" s="199"/>
      <c r="J18030" s="199"/>
    </row>
    <row r="18031" spans="9:10" x14ac:dyDescent="0.25">
      <c r="I18031" s="199"/>
      <c r="J18031" s="199"/>
    </row>
    <row r="18032" spans="9:10" x14ac:dyDescent="0.25">
      <c r="I18032" s="199"/>
      <c r="J18032" s="199"/>
    </row>
    <row r="18033" spans="9:10" x14ac:dyDescent="0.25">
      <c r="I18033" s="199"/>
      <c r="J18033" s="199"/>
    </row>
    <row r="18034" spans="9:10" x14ac:dyDescent="0.25">
      <c r="I18034" s="199"/>
      <c r="J18034" s="199"/>
    </row>
    <row r="18035" spans="9:10" x14ac:dyDescent="0.25">
      <c r="I18035" s="199"/>
      <c r="J18035" s="199"/>
    </row>
    <row r="18036" spans="9:10" x14ac:dyDescent="0.25">
      <c r="I18036" s="199"/>
      <c r="J18036" s="199"/>
    </row>
    <row r="18037" spans="9:10" x14ac:dyDescent="0.25">
      <c r="I18037" s="199"/>
      <c r="J18037" s="199"/>
    </row>
    <row r="18038" spans="9:10" x14ac:dyDescent="0.25">
      <c r="I18038" s="199"/>
      <c r="J18038" s="199"/>
    </row>
    <row r="18039" spans="9:10" x14ac:dyDescent="0.25">
      <c r="I18039" s="199"/>
      <c r="J18039" s="199"/>
    </row>
    <row r="18040" spans="9:10" x14ac:dyDescent="0.25">
      <c r="I18040" s="199"/>
      <c r="J18040" s="199"/>
    </row>
    <row r="18041" spans="9:10" x14ac:dyDescent="0.25">
      <c r="I18041" s="199"/>
      <c r="J18041" s="199"/>
    </row>
    <row r="18042" spans="9:10" x14ac:dyDescent="0.25">
      <c r="I18042" s="199"/>
      <c r="J18042" s="199"/>
    </row>
    <row r="18043" spans="9:10" x14ac:dyDescent="0.25">
      <c r="I18043" s="199"/>
      <c r="J18043" s="199"/>
    </row>
    <row r="18044" spans="9:10" x14ac:dyDescent="0.25">
      <c r="I18044" s="199"/>
      <c r="J18044" s="199"/>
    </row>
    <row r="18045" spans="9:10" x14ac:dyDescent="0.25">
      <c r="I18045" s="199"/>
      <c r="J18045" s="199"/>
    </row>
    <row r="18046" spans="9:10" x14ac:dyDescent="0.25">
      <c r="I18046" s="199"/>
      <c r="J18046" s="199"/>
    </row>
    <row r="18047" spans="9:10" x14ac:dyDescent="0.25">
      <c r="I18047" s="199"/>
      <c r="J18047" s="199"/>
    </row>
    <row r="18048" spans="9:10" x14ac:dyDescent="0.25">
      <c r="I18048" s="199"/>
      <c r="J18048" s="199"/>
    </row>
    <row r="18049" spans="9:10" x14ac:dyDescent="0.25">
      <c r="I18049" s="199"/>
      <c r="J18049" s="199"/>
    </row>
    <row r="18050" spans="9:10" x14ac:dyDescent="0.25">
      <c r="I18050" s="199"/>
      <c r="J18050" s="199"/>
    </row>
    <row r="18051" spans="9:10" x14ac:dyDescent="0.25">
      <c r="I18051" s="199"/>
      <c r="J18051" s="199"/>
    </row>
    <row r="18052" spans="9:10" x14ac:dyDescent="0.25">
      <c r="I18052" s="199"/>
      <c r="J18052" s="199"/>
    </row>
    <row r="18053" spans="9:10" x14ac:dyDescent="0.25">
      <c r="I18053" s="199"/>
      <c r="J18053" s="199"/>
    </row>
    <row r="18054" spans="9:10" x14ac:dyDescent="0.25">
      <c r="I18054" s="199"/>
      <c r="J18054" s="199"/>
    </row>
    <row r="18055" spans="9:10" x14ac:dyDescent="0.25">
      <c r="I18055" s="199"/>
      <c r="J18055" s="199"/>
    </row>
    <row r="18056" spans="9:10" x14ac:dyDescent="0.25">
      <c r="I18056" s="199"/>
      <c r="J18056" s="199"/>
    </row>
    <row r="18057" spans="9:10" x14ac:dyDescent="0.25">
      <c r="I18057" s="199"/>
      <c r="J18057" s="199"/>
    </row>
    <row r="18058" spans="9:10" x14ac:dyDescent="0.25">
      <c r="I18058" s="199"/>
      <c r="J18058" s="199"/>
    </row>
    <row r="18059" spans="9:10" x14ac:dyDescent="0.25">
      <c r="I18059" s="199"/>
      <c r="J18059" s="199"/>
    </row>
    <row r="18060" spans="9:10" x14ac:dyDescent="0.25">
      <c r="I18060" s="199"/>
      <c r="J18060" s="199"/>
    </row>
    <row r="18061" spans="9:10" x14ac:dyDescent="0.25">
      <c r="I18061" s="199"/>
      <c r="J18061" s="199"/>
    </row>
    <row r="18062" spans="9:10" x14ac:dyDescent="0.25">
      <c r="I18062" s="199"/>
      <c r="J18062" s="199"/>
    </row>
    <row r="18063" spans="9:10" x14ac:dyDescent="0.25">
      <c r="I18063" s="199"/>
      <c r="J18063" s="199"/>
    </row>
    <row r="18064" spans="9:10" x14ac:dyDescent="0.25">
      <c r="I18064" s="199"/>
      <c r="J18064" s="199"/>
    </row>
    <row r="18065" spans="9:10" x14ac:dyDescent="0.25">
      <c r="I18065" s="199"/>
      <c r="J18065" s="199"/>
    </row>
    <row r="18066" spans="9:10" x14ac:dyDescent="0.25">
      <c r="I18066" s="199"/>
      <c r="J18066" s="199"/>
    </row>
    <row r="18067" spans="9:10" x14ac:dyDescent="0.25">
      <c r="I18067" s="199"/>
      <c r="J18067" s="199"/>
    </row>
    <row r="18068" spans="9:10" x14ac:dyDescent="0.25">
      <c r="I18068" s="199"/>
      <c r="J18068" s="199"/>
    </row>
    <row r="18069" spans="9:10" x14ac:dyDescent="0.25">
      <c r="I18069" s="199"/>
      <c r="J18069" s="199"/>
    </row>
    <row r="18070" spans="9:10" x14ac:dyDescent="0.25">
      <c r="I18070" s="199"/>
      <c r="J18070" s="199"/>
    </row>
    <row r="18071" spans="9:10" x14ac:dyDescent="0.25">
      <c r="I18071" s="199"/>
      <c r="J18071" s="199"/>
    </row>
    <row r="18072" spans="9:10" x14ac:dyDescent="0.25">
      <c r="I18072" s="199"/>
      <c r="J18072" s="199"/>
    </row>
    <row r="18073" spans="9:10" x14ac:dyDescent="0.25">
      <c r="I18073" s="199"/>
      <c r="J18073" s="199"/>
    </row>
    <row r="18074" spans="9:10" x14ac:dyDescent="0.25">
      <c r="I18074" s="199"/>
      <c r="J18074" s="199"/>
    </row>
    <row r="18075" spans="9:10" x14ac:dyDescent="0.25">
      <c r="I18075" s="199"/>
      <c r="J18075" s="199"/>
    </row>
    <row r="18076" spans="9:10" x14ac:dyDescent="0.25">
      <c r="I18076" s="199"/>
      <c r="J18076" s="199"/>
    </row>
    <row r="18077" spans="9:10" x14ac:dyDescent="0.25">
      <c r="I18077" s="199"/>
      <c r="J18077" s="199"/>
    </row>
    <row r="18078" spans="9:10" x14ac:dyDescent="0.25">
      <c r="I18078" s="199"/>
      <c r="J18078" s="199"/>
    </row>
    <row r="18079" spans="9:10" x14ac:dyDescent="0.25">
      <c r="I18079" s="199"/>
      <c r="J18079" s="199"/>
    </row>
    <row r="18080" spans="9:10" x14ac:dyDescent="0.25">
      <c r="I18080" s="199"/>
      <c r="J18080" s="199"/>
    </row>
    <row r="18081" spans="9:10" x14ac:dyDescent="0.25">
      <c r="I18081" s="199"/>
      <c r="J18081" s="199"/>
    </row>
    <row r="18082" spans="9:10" x14ac:dyDescent="0.25">
      <c r="I18082" s="199"/>
      <c r="J18082" s="199"/>
    </row>
    <row r="18083" spans="9:10" x14ac:dyDescent="0.25">
      <c r="I18083" s="199"/>
      <c r="J18083" s="199"/>
    </row>
    <row r="18084" spans="9:10" x14ac:dyDescent="0.25">
      <c r="I18084" s="199"/>
      <c r="J18084" s="199"/>
    </row>
    <row r="18085" spans="9:10" x14ac:dyDescent="0.25">
      <c r="I18085" s="199"/>
      <c r="J18085" s="199"/>
    </row>
    <row r="18086" spans="9:10" x14ac:dyDescent="0.25">
      <c r="I18086" s="199"/>
      <c r="J18086" s="199"/>
    </row>
    <row r="18087" spans="9:10" x14ac:dyDescent="0.25">
      <c r="I18087" s="199"/>
      <c r="J18087" s="199"/>
    </row>
    <row r="18088" spans="9:10" x14ac:dyDescent="0.25">
      <c r="I18088" s="199"/>
      <c r="J18088" s="199"/>
    </row>
    <row r="18089" spans="9:10" x14ac:dyDescent="0.25">
      <c r="I18089" s="199"/>
      <c r="J18089" s="199"/>
    </row>
    <row r="18090" spans="9:10" x14ac:dyDescent="0.25">
      <c r="I18090" s="199"/>
      <c r="J18090" s="199"/>
    </row>
    <row r="18091" spans="9:10" x14ac:dyDescent="0.25">
      <c r="I18091" s="199"/>
      <c r="J18091" s="199"/>
    </row>
    <row r="18092" spans="9:10" x14ac:dyDescent="0.25">
      <c r="I18092" s="199"/>
      <c r="J18092" s="199"/>
    </row>
    <row r="18093" spans="9:10" x14ac:dyDescent="0.25">
      <c r="I18093" s="199"/>
      <c r="J18093" s="199"/>
    </row>
    <row r="18094" spans="9:10" x14ac:dyDescent="0.25">
      <c r="I18094" s="199"/>
      <c r="J18094" s="199"/>
    </row>
    <row r="18095" spans="9:10" x14ac:dyDescent="0.25">
      <c r="I18095" s="199"/>
      <c r="J18095" s="199"/>
    </row>
    <row r="18096" spans="9:10" x14ac:dyDescent="0.25">
      <c r="I18096" s="199"/>
      <c r="J18096" s="199"/>
    </row>
    <row r="18097" spans="9:10" x14ac:dyDescent="0.25">
      <c r="I18097" s="199"/>
      <c r="J18097" s="199"/>
    </row>
    <row r="18098" spans="9:10" x14ac:dyDescent="0.25">
      <c r="I18098" s="199"/>
      <c r="J18098" s="199"/>
    </row>
    <row r="18099" spans="9:10" x14ac:dyDescent="0.25">
      <c r="I18099" s="199"/>
      <c r="J18099" s="199"/>
    </row>
    <row r="18100" spans="9:10" x14ac:dyDescent="0.25">
      <c r="I18100" s="199"/>
      <c r="J18100" s="199"/>
    </row>
    <row r="18101" spans="9:10" x14ac:dyDescent="0.25">
      <c r="I18101" s="199"/>
      <c r="J18101" s="199"/>
    </row>
    <row r="18102" spans="9:10" x14ac:dyDescent="0.25">
      <c r="I18102" s="199"/>
      <c r="J18102" s="199"/>
    </row>
    <row r="18103" spans="9:10" x14ac:dyDescent="0.25">
      <c r="I18103" s="199"/>
      <c r="J18103" s="199"/>
    </row>
    <row r="18104" spans="9:10" x14ac:dyDescent="0.25">
      <c r="I18104" s="199"/>
      <c r="J18104" s="199"/>
    </row>
    <row r="18105" spans="9:10" x14ac:dyDescent="0.25">
      <c r="I18105" s="199"/>
      <c r="J18105" s="199"/>
    </row>
    <row r="18106" spans="9:10" x14ac:dyDescent="0.25">
      <c r="I18106" s="199"/>
      <c r="J18106" s="199"/>
    </row>
    <row r="18107" spans="9:10" x14ac:dyDescent="0.25">
      <c r="I18107" s="199"/>
      <c r="J18107" s="199"/>
    </row>
    <row r="18108" spans="9:10" x14ac:dyDescent="0.25">
      <c r="I18108" s="199"/>
      <c r="J18108" s="199"/>
    </row>
    <row r="18109" spans="9:10" x14ac:dyDescent="0.25">
      <c r="I18109" s="199"/>
      <c r="J18109" s="199"/>
    </row>
    <row r="18110" spans="9:10" x14ac:dyDescent="0.25">
      <c r="I18110" s="199"/>
      <c r="J18110" s="199"/>
    </row>
    <row r="18111" spans="9:10" x14ac:dyDescent="0.25">
      <c r="I18111" s="199"/>
      <c r="J18111" s="199"/>
    </row>
    <row r="18112" spans="9:10" x14ac:dyDescent="0.25">
      <c r="I18112" s="199"/>
      <c r="J18112" s="199"/>
    </row>
    <row r="18113" spans="9:10" x14ac:dyDescent="0.25">
      <c r="I18113" s="199"/>
      <c r="J18113" s="199"/>
    </row>
    <row r="18114" spans="9:10" x14ac:dyDescent="0.25">
      <c r="I18114" s="199"/>
      <c r="J18114" s="199"/>
    </row>
    <row r="18115" spans="9:10" x14ac:dyDescent="0.25">
      <c r="I18115" s="199"/>
      <c r="J18115" s="199"/>
    </row>
    <row r="18116" spans="9:10" x14ac:dyDescent="0.25">
      <c r="I18116" s="199"/>
      <c r="J18116" s="199"/>
    </row>
    <row r="18117" spans="9:10" x14ac:dyDescent="0.25">
      <c r="I18117" s="199"/>
      <c r="J18117" s="199"/>
    </row>
    <row r="18118" spans="9:10" x14ac:dyDescent="0.25">
      <c r="I18118" s="199"/>
      <c r="J18118" s="199"/>
    </row>
    <row r="18119" spans="9:10" x14ac:dyDescent="0.25">
      <c r="I18119" s="199"/>
      <c r="J18119" s="199"/>
    </row>
    <row r="18120" spans="9:10" x14ac:dyDescent="0.25">
      <c r="I18120" s="199"/>
      <c r="J18120" s="199"/>
    </row>
    <row r="18121" spans="9:10" x14ac:dyDescent="0.25">
      <c r="I18121" s="199"/>
      <c r="J18121" s="199"/>
    </row>
    <row r="18122" spans="9:10" x14ac:dyDescent="0.25">
      <c r="I18122" s="199"/>
      <c r="J18122" s="199"/>
    </row>
    <row r="18123" spans="9:10" x14ac:dyDescent="0.25">
      <c r="I18123" s="199"/>
      <c r="J18123" s="199"/>
    </row>
    <row r="18124" spans="9:10" x14ac:dyDescent="0.25">
      <c r="I18124" s="199"/>
      <c r="J18124" s="199"/>
    </row>
    <row r="18125" spans="9:10" x14ac:dyDescent="0.25">
      <c r="I18125" s="199"/>
      <c r="J18125" s="199"/>
    </row>
    <row r="18126" spans="9:10" x14ac:dyDescent="0.25">
      <c r="I18126" s="199"/>
      <c r="J18126" s="199"/>
    </row>
    <row r="18127" spans="9:10" x14ac:dyDescent="0.25">
      <c r="I18127" s="199"/>
      <c r="J18127" s="199"/>
    </row>
    <row r="18128" spans="9:10" x14ac:dyDescent="0.25">
      <c r="I18128" s="199"/>
      <c r="J18128" s="199"/>
    </row>
    <row r="18129" spans="9:10" x14ac:dyDescent="0.25">
      <c r="I18129" s="199"/>
      <c r="J18129" s="199"/>
    </row>
    <row r="18130" spans="9:10" x14ac:dyDescent="0.25">
      <c r="I18130" s="199"/>
      <c r="J18130" s="199"/>
    </row>
    <row r="18131" spans="9:10" x14ac:dyDescent="0.25">
      <c r="I18131" s="199"/>
      <c r="J18131" s="199"/>
    </row>
    <row r="18132" spans="9:10" x14ac:dyDescent="0.25">
      <c r="I18132" s="199"/>
      <c r="J18132" s="199"/>
    </row>
    <row r="18133" spans="9:10" x14ac:dyDescent="0.25">
      <c r="I18133" s="199"/>
      <c r="J18133" s="199"/>
    </row>
    <row r="18134" spans="9:10" x14ac:dyDescent="0.25">
      <c r="I18134" s="199"/>
      <c r="J18134" s="199"/>
    </row>
    <row r="18135" spans="9:10" x14ac:dyDescent="0.25">
      <c r="I18135" s="199"/>
      <c r="J18135" s="199"/>
    </row>
    <row r="18136" spans="9:10" x14ac:dyDescent="0.25">
      <c r="I18136" s="199"/>
      <c r="J18136" s="199"/>
    </row>
    <row r="18137" spans="9:10" x14ac:dyDescent="0.25">
      <c r="I18137" s="199"/>
      <c r="J18137" s="199"/>
    </row>
    <row r="18138" spans="9:10" x14ac:dyDescent="0.25">
      <c r="I18138" s="199"/>
      <c r="J18138" s="199"/>
    </row>
    <row r="18139" spans="9:10" x14ac:dyDescent="0.25">
      <c r="I18139" s="199"/>
      <c r="J18139" s="199"/>
    </row>
    <row r="18140" spans="9:10" x14ac:dyDescent="0.25">
      <c r="I18140" s="199"/>
      <c r="J18140" s="199"/>
    </row>
    <row r="18141" spans="9:10" x14ac:dyDescent="0.25">
      <c r="I18141" s="199"/>
      <c r="J18141" s="199"/>
    </row>
    <row r="18142" spans="9:10" x14ac:dyDescent="0.25">
      <c r="I18142" s="199"/>
      <c r="J18142" s="199"/>
    </row>
    <row r="18143" spans="9:10" x14ac:dyDescent="0.25">
      <c r="I18143" s="199"/>
      <c r="J18143" s="199"/>
    </row>
    <row r="18144" spans="9:10" x14ac:dyDescent="0.25">
      <c r="I18144" s="199"/>
      <c r="J18144" s="199"/>
    </row>
    <row r="18145" spans="9:10" x14ac:dyDescent="0.25">
      <c r="I18145" s="199"/>
      <c r="J18145" s="199"/>
    </row>
    <row r="18146" spans="9:10" x14ac:dyDescent="0.25">
      <c r="I18146" s="199"/>
      <c r="J18146" s="199"/>
    </row>
    <row r="18147" spans="9:10" x14ac:dyDescent="0.25">
      <c r="I18147" s="199"/>
      <c r="J18147" s="199"/>
    </row>
    <row r="18148" spans="9:10" x14ac:dyDescent="0.25">
      <c r="I18148" s="199"/>
      <c r="J18148" s="199"/>
    </row>
    <row r="18149" spans="9:10" x14ac:dyDescent="0.25">
      <c r="I18149" s="199"/>
      <c r="J18149" s="199"/>
    </row>
    <row r="18150" spans="9:10" x14ac:dyDescent="0.25">
      <c r="I18150" s="199"/>
      <c r="J18150" s="199"/>
    </row>
    <row r="18151" spans="9:10" x14ac:dyDescent="0.25">
      <c r="I18151" s="199"/>
      <c r="J18151" s="199"/>
    </row>
    <row r="18152" spans="9:10" x14ac:dyDescent="0.25">
      <c r="I18152" s="199"/>
      <c r="J18152" s="199"/>
    </row>
    <row r="18153" spans="9:10" x14ac:dyDescent="0.25">
      <c r="I18153" s="199"/>
      <c r="J18153" s="199"/>
    </row>
    <row r="18154" spans="9:10" x14ac:dyDescent="0.25">
      <c r="I18154" s="199"/>
      <c r="J18154" s="199"/>
    </row>
    <row r="18155" spans="9:10" x14ac:dyDescent="0.25">
      <c r="I18155" s="199"/>
      <c r="J18155" s="199"/>
    </row>
    <row r="18156" spans="9:10" x14ac:dyDescent="0.25">
      <c r="I18156" s="199"/>
      <c r="J18156" s="199"/>
    </row>
    <row r="18157" spans="9:10" x14ac:dyDescent="0.25">
      <c r="I18157" s="199"/>
      <c r="J18157" s="199"/>
    </row>
    <row r="18158" spans="9:10" x14ac:dyDescent="0.25">
      <c r="I18158" s="199"/>
      <c r="J18158" s="199"/>
    </row>
    <row r="18159" spans="9:10" x14ac:dyDescent="0.25">
      <c r="I18159" s="199"/>
      <c r="J18159" s="199"/>
    </row>
    <row r="18160" spans="9:10" x14ac:dyDescent="0.25">
      <c r="I18160" s="199"/>
      <c r="J18160" s="199"/>
    </row>
    <row r="18161" spans="9:10" x14ac:dyDescent="0.25">
      <c r="I18161" s="199"/>
      <c r="J18161" s="199"/>
    </row>
    <row r="18162" spans="9:10" x14ac:dyDescent="0.25">
      <c r="I18162" s="199"/>
      <c r="J18162" s="199"/>
    </row>
    <row r="18163" spans="9:10" x14ac:dyDescent="0.25">
      <c r="I18163" s="199"/>
      <c r="J18163" s="199"/>
    </row>
    <row r="18164" spans="9:10" x14ac:dyDescent="0.25">
      <c r="I18164" s="199"/>
      <c r="J18164" s="199"/>
    </row>
    <row r="18165" spans="9:10" x14ac:dyDescent="0.25">
      <c r="I18165" s="199"/>
      <c r="J18165" s="199"/>
    </row>
    <row r="18166" spans="9:10" x14ac:dyDescent="0.25">
      <c r="I18166" s="199"/>
      <c r="J18166" s="199"/>
    </row>
    <row r="18167" spans="9:10" x14ac:dyDescent="0.25">
      <c r="I18167" s="199"/>
      <c r="J18167" s="199"/>
    </row>
    <row r="18168" spans="9:10" x14ac:dyDescent="0.25">
      <c r="I18168" s="199"/>
      <c r="J18168" s="199"/>
    </row>
    <row r="18169" spans="9:10" x14ac:dyDescent="0.25">
      <c r="I18169" s="199"/>
      <c r="J18169" s="199"/>
    </row>
    <row r="18170" spans="9:10" x14ac:dyDescent="0.25">
      <c r="I18170" s="199"/>
      <c r="J18170" s="199"/>
    </row>
    <row r="18171" spans="9:10" x14ac:dyDescent="0.25">
      <c r="I18171" s="199"/>
      <c r="J18171" s="199"/>
    </row>
    <row r="18172" spans="9:10" x14ac:dyDescent="0.25">
      <c r="I18172" s="199"/>
      <c r="J18172" s="199"/>
    </row>
    <row r="18173" spans="9:10" x14ac:dyDescent="0.25">
      <c r="I18173" s="199"/>
      <c r="J18173" s="199"/>
    </row>
    <row r="18174" spans="9:10" x14ac:dyDescent="0.25">
      <c r="I18174" s="199"/>
      <c r="J18174" s="199"/>
    </row>
    <row r="18175" spans="9:10" x14ac:dyDescent="0.25">
      <c r="I18175" s="199"/>
      <c r="J18175" s="199"/>
    </row>
    <row r="18176" spans="9:10" x14ac:dyDescent="0.25">
      <c r="I18176" s="199"/>
      <c r="J18176" s="199"/>
    </row>
    <row r="18177" spans="9:10" x14ac:dyDescent="0.25">
      <c r="I18177" s="199"/>
      <c r="J18177" s="199"/>
    </row>
    <row r="18178" spans="9:10" x14ac:dyDescent="0.25">
      <c r="I18178" s="199"/>
      <c r="J18178" s="199"/>
    </row>
    <row r="18179" spans="9:10" x14ac:dyDescent="0.25">
      <c r="I18179" s="199"/>
      <c r="J18179" s="199"/>
    </row>
    <row r="18180" spans="9:10" x14ac:dyDescent="0.25">
      <c r="I18180" s="199"/>
      <c r="J18180" s="199"/>
    </row>
    <row r="18181" spans="9:10" x14ac:dyDescent="0.25">
      <c r="I18181" s="199"/>
      <c r="J18181" s="199"/>
    </row>
    <row r="18182" spans="9:10" x14ac:dyDescent="0.25">
      <c r="I18182" s="199"/>
      <c r="J18182" s="199"/>
    </row>
    <row r="18183" spans="9:10" x14ac:dyDescent="0.25">
      <c r="I18183" s="199"/>
      <c r="J18183" s="199"/>
    </row>
    <row r="18184" spans="9:10" x14ac:dyDescent="0.25">
      <c r="I18184" s="199"/>
      <c r="J18184" s="199"/>
    </row>
    <row r="18185" spans="9:10" x14ac:dyDescent="0.25">
      <c r="I18185" s="199"/>
      <c r="J18185" s="199"/>
    </row>
    <row r="18186" spans="9:10" x14ac:dyDescent="0.25">
      <c r="I18186" s="199"/>
      <c r="J18186" s="199"/>
    </row>
    <row r="18187" spans="9:10" x14ac:dyDescent="0.25">
      <c r="I18187" s="199"/>
      <c r="J18187" s="199"/>
    </row>
    <row r="18188" spans="9:10" x14ac:dyDescent="0.25">
      <c r="I18188" s="199"/>
      <c r="J18188" s="199"/>
    </row>
    <row r="18189" spans="9:10" x14ac:dyDescent="0.25">
      <c r="I18189" s="199"/>
      <c r="J18189" s="199"/>
    </row>
    <row r="18190" spans="9:10" x14ac:dyDescent="0.25">
      <c r="I18190" s="199"/>
      <c r="J18190" s="199"/>
    </row>
    <row r="18191" spans="9:10" x14ac:dyDescent="0.25">
      <c r="I18191" s="199"/>
      <c r="J18191" s="199"/>
    </row>
    <row r="18192" spans="9:10" x14ac:dyDescent="0.25">
      <c r="I18192" s="199"/>
      <c r="J18192" s="199"/>
    </row>
    <row r="18193" spans="9:10" x14ac:dyDescent="0.25">
      <c r="I18193" s="199"/>
      <c r="J18193" s="199"/>
    </row>
    <row r="18194" spans="9:10" x14ac:dyDescent="0.25">
      <c r="I18194" s="199"/>
      <c r="J18194" s="199"/>
    </row>
    <row r="18195" spans="9:10" x14ac:dyDescent="0.25">
      <c r="I18195" s="199"/>
      <c r="J18195" s="199"/>
    </row>
    <row r="18196" spans="9:10" x14ac:dyDescent="0.25">
      <c r="I18196" s="199"/>
      <c r="J18196" s="199"/>
    </row>
    <row r="18197" spans="9:10" x14ac:dyDescent="0.25">
      <c r="I18197" s="199"/>
      <c r="J18197" s="199"/>
    </row>
    <row r="18198" spans="9:10" x14ac:dyDescent="0.25">
      <c r="I18198" s="199"/>
      <c r="J18198" s="199"/>
    </row>
    <row r="18199" spans="9:10" x14ac:dyDescent="0.25">
      <c r="I18199" s="199"/>
      <c r="J18199" s="199"/>
    </row>
    <row r="18200" spans="9:10" x14ac:dyDescent="0.25">
      <c r="I18200" s="199"/>
      <c r="J18200" s="199"/>
    </row>
    <row r="18201" spans="9:10" x14ac:dyDescent="0.25">
      <c r="I18201" s="199"/>
      <c r="J18201" s="199"/>
    </row>
    <row r="18202" spans="9:10" x14ac:dyDescent="0.25">
      <c r="I18202" s="199"/>
      <c r="J18202" s="199"/>
    </row>
    <row r="18203" spans="9:10" x14ac:dyDescent="0.25">
      <c r="I18203" s="199"/>
      <c r="J18203" s="199"/>
    </row>
    <row r="18204" spans="9:10" x14ac:dyDescent="0.25">
      <c r="I18204" s="199"/>
      <c r="J18204" s="199"/>
    </row>
    <row r="18205" spans="9:10" x14ac:dyDescent="0.25">
      <c r="I18205" s="199"/>
      <c r="J18205" s="199"/>
    </row>
    <row r="18206" spans="9:10" x14ac:dyDescent="0.25">
      <c r="I18206" s="199"/>
      <c r="J18206" s="199"/>
    </row>
    <row r="18207" spans="9:10" x14ac:dyDescent="0.25">
      <c r="I18207" s="199"/>
      <c r="J18207" s="199"/>
    </row>
    <row r="18208" spans="9:10" x14ac:dyDescent="0.25">
      <c r="I18208" s="199"/>
      <c r="J18208" s="199"/>
    </row>
    <row r="18209" spans="9:10" x14ac:dyDescent="0.25">
      <c r="I18209" s="199"/>
      <c r="J18209" s="199"/>
    </row>
    <row r="18210" spans="9:10" x14ac:dyDescent="0.25">
      <c r="I18210" s="199"/>
      <c r="J18210" s="199"/>
    </row>
    <row r="18211" spans="9:10" x14ac:dyDescent="0.25">
      <c r="I18211" s="199"/>
      <c r="J18211" s="199"/>
    </row>
    <row r="18212" spans="9:10" x14ac:dyDescent="0.25">
      <c r="I18212" s="199"/>
      <c r="J18212" s="199"/>
    </row>
    <row r="18213" spans="9:10" x14ac:dyDescent="0.25">
      <c r="I18213" s="199"/>
      <c r="J18213" s="199"/>
    </row>
    <row r="18214" spans="9:10" x14ac:dyDescent="0.25">
      <c r="I18214" s="199"/>
      <c r="J18214" s="199"/>
    </row>
    <row r="18215" spans="9:10" x14ac:dyDescent="0.25">
      <c r="I18215" s="199"/>
      <c r="J18215" s="199"/>
    </row>
    <row r="18216" spans="9:10" x14ac:dyDescent="0.25">
      <c r="I18216" s="199"/>
      <c r="J18216" s="199"/>
    </row>
    <row r="18217" spans="9:10" x14ac:dyDescent="0.25">
      <c r="I18217" s="199"/>
      <c r="J18217" s="199"/>
    </row>
    <row r="18218" spans="9:10" x14ac:dyDescent="0.25">
      <c r="I18218" s="199"/>
      <c r="J18218" s="199"/>
    </row>
    <row r="18219" spans="9:10" x14ac:dyDescent="0.25">
      <c r="I18219" s="199"/>
      <c r="J18219" s="199"/>
    </row>
    <row r="18220" spans="9:10" x14ac:dyDescent="0.25">
      <c r="I18220" s="199"/>
      <c r="J18220" s="199"/>
    </row>
    <row r="18221" spans="9:10" x14ac:dyDescent="0.25">
      <c r="I18221" s="199"/>
      <c r="J18221" s="199"/>
    </row>
    <row r="18222" spans="9:10" x14ac:dyDescent="0.25">
      <c r="I18222" s="199"/>
      <c r="J18222" s="199"/>
    </row>
    <row r="18223" spans="9:10" x14ac:dyDescent="0.25">
      <c r="I18223" s="199"/>
      <c r="J18223" s="199"/>
    </row>
    <row r="18224" spans="9:10" x14ac:dyDescent="0.25">
      <c r="I18224" s="199"/>
      <c r="J18224" s="199"/>
    </row>
    <row r="18225" spans="9:10" x14ac:dyDescent="0.25">
      <c r="I18225" s="199"/>
      <c r="J18225" s="199"/>
    </row>
    <row r="18226" spans="9:10" x14ac:dyDescent="0.25">
      <c r="I18226" s="199"/>
      <c r="J18226" s="199"/>
    </row>
    <row r="18227" spans="9:10" x14ac:dyDescent="0.25">
      <c r="I18227" s="199"/>
      <c r="J18227" s="199"/>
    </row>
    <row r="18228" spans="9:10" x14ac:dyDescent="0.25">
      <c r="I18228" s="199"/>
      <c r="J18228" s="199"/>
    </row>
    <row r="18229" spans="9:10" x14ac:dyDescent="0.25">
      <c r="I18229" s="199"/>
      <c r="J18229" s="199"/>
    </row>
    <row r="18230" spans="9:10" x14ac:dyDescent="0.25">
      <c r="I18230" s="199"/>
      <c r="J18230" s="199"/>
    </row>
    <row r="18231" spans="9:10" x14ac:dyDescent="0.25">
      <c r="I18231" s="199"/>
      <c r="J18231" s="199"/>
    </row>
    <row r="18232" spans="9:10" x14ac:dyDescent="0.25">
      <c r="I18232" s="199"/>
      <c r="J18232" s="199"/>
    </row>
    <row r="18233" spans="9:10" x14ac:dyDescent="0.25">
      <c r="I18233" s="199"/>
      <c r="J18233" s="199"/>
    </row>
    <row r="18234" spans="9:10" x14ac:dyDescent="0.25">
      <c r="I18234" s="199"/>
      <c r="J18234" s="199"/>
    </row>
    <row r="18235" spans="9:10" x14ac:dyDescent="0.25">
      <c r="I18235" s="199"/>
      <c r="J18235" s="199"/>
    </row>
    <row r="18236" spans="9:10" x14ac:dyDescent="0.25">
      <c r="I18236" s="199"/>
      <c r="J18236" s="199"/>
    </row>
    <row r="18237" spans="9:10" x14ac:dyDescent="0.25">
      <c r="I18237" s="199"/>
      <c r="J18237" s="199"/>
    </row>
    <row r="18238" spans="9:10" x14ac:dyDescent="0.25">
      <c r="I18238" s="199"/>
      <c r="J18238" s="199"/>
    </row>
    <row r="18239" spans="9:10" x14ac:dyDescent="0.25">
      <c r="I18239" s="199"/>
      <c r="J18239" s="199"/>
    </row>
    <row r="18240" spans="9:10" x14ac:dyDescent="0.25">
      <c r="I18240" s="199"/>
      <c r="J18240" s="199"/>
    </row>
    <row r="18241" spans="9:10" x14ac:dyDescent="0.25">
      <c r="I18241" s="199"/>
      <c r="J18241" s="199"/>
    </row>
    <row r="18242" spans="9:10" x14ac:dyDescent="0.25">
      <c r="I18242" s="199"/>
      <c r="J18242" s="199"/>
    </row>
    <row r="18243" spans="9:10" x14ac:dyDescent="0.25">
      <c r="I18243" s="199"/>
      <c r="J18243" s="199"/>
    </row>
    <row r="18244" spans="9:10" x14ac:dyDescent="0.25">
      <c r="I18244" s="199"/>
      <c r="J18244" s="199"/>
    </row>
    <row r="18245" spans="9:10" x14ac:dyDescent="0.25">
      <c r="I18245" s="199"/>
      <c r="J18245" s="199"/>
    </row>
    <row r="18246" spans="9:10" x14ac:dyDescent="0.25">
      <c r="I18246" s="199"/>
      <c r="J18246" s="199"/>
    </row>
    <row r="18247" spans="9:10" x14ac:dyDescent="0.25">
      <c r="I18247" s="199"/>
      <c r="J18247" s="199"/>
    </row>
    <row r="18248" spans="9:10" x14ac:dyDescent="0.25">
      <c r="I18248" s="199"/>
      <c r="J18248" s="199"/>
    </row>
    <row r="18249" spans="9:10" x14ac:dyDescent="0.25">
      <c r="I18249" s="199"/>
      <c r="J18249" s="199"/>
    </row>
    <row r="18250" spans="9:10" x14ac:dyDescent="0.25">
      <c r="I18250" s="199"/>
      <c r="J18250" s="199"/>
    </row>
    <row r="18251" spans="9:10" x14ac:dyDescent="0.25">
      <c r="I18251" s="199"/>
      <c r="J18251" s="199"/>
    </row>
    <row r="18252" spans="9:10" x14ac:dyDescent="0.25">
      <c r="I18252" s="199"/>
      <c r="J18252" s="199"/>
    </row>
    <row r="18253" spans="9:10" x14ac:dyDescent="0.25">
      <c r="I18253" s="199"/>
      <c r="J18253" s="199"/>
    </row>
    <row r="18254" spans="9:10" x14ac:dyDescent="0.25">
      <c r="I18254" s="199"/>
      <c r="J18254" s="199"/>
    </row>
    <row r="18255" spans="9:10" x14ac:dyDescent="0.25">
      <c r="I18255" s="199"/>
      <c r="J18255" s="199"/>
    </row>
    <row r="18256" spans="9:10" x14ac:dyDescent="0.25">
      <c r="I18256" s="199"/>
      <c r="J18256" s="199"/>
    </row>
    <row r="18257" spans="9:10" x14ac:dyDescent="0.25">
      <c r="I18257" s="199"/>
      <c r="J18257" s="199"/>
    </row>
    <row r="18258" spans="9:10" x14ac:dyDescent="0.25">
      <c r="I18258" s="199"/>
      <c r="J18258" s="199"/>
    </row>
    <row r="18259" spans="9:10" x14ac:dyDescent="0.25">
      <c r="I18259" s="199"/>
      <c r="J18259" s="199"/>
    </row>
    <row r="18260" spans="9:10" x14ac:dyDescent="0.25">
      <c r="I18260" s="199"/>
      <c r="J18260" s="199"/>
    </row>
    <row r="18261" spans="9:10" x14ac:dyDescent="0.25">
      <c r="I18261" s="199"/>
      <c r="J18261" s="199"/>
    </row>
    <row r="18262" spans="9:10" x14ac:dyDescent="0.25">
      <c r="I18262" s="199"/>
      <c r="J18262" s="199"/>
    </row>
    <row r="18263" spans="9:10" x14ac:dyDescent="0.25">
      <c r="I18263" s="199"/>
      <c r="J18263" s="199"/>
    </row>
    <row r="18264" spans="9:10" x14ac:dyDescent="0.25">
      <c r="I18264" s="199"/>
      <c r="J18264" s="199"/>
    </row>
    <row r="18265" spans="9:10" x14ac:dyDescent="0.25">
      <c r="I18265" s="199"/>
      <c r="J18265" s="199"/>
    </row>
    <row r="18266" spans="9:10" x14ac:dyDescent="0.25">
      <c r="I18266" s="199"/>
      <c r="J18266" s="199"/>
    </row>
    <row r="18267" spans="9:10" x14ac:dyDescent="0.25">
      <c r="I18267" s="199"/>
      <c r="J18267" s="199"/>
    </row>
    <row r="18268" spans="9:10" x14ac:dyDescent="0.25">
      <c r="I18268" s="199"/>
      <c r="J18268" s="199"/>
    </row>
    <row r="18269" spans="9:10" x14ac:dyDescent="0.25">
      <c r="I18269" s="199"/>
      <c r="J18269" s="199"/>
    </row>
    <row r="18270" spans="9:10" x14ac:dyDescent="0.25">
      <c r="I18270" s="199"/>
      <c r="J18270" s="199"/>
    </row>
    <row r="18271" spans="9:10" x14ac:dyDescent="0.25">
      <c r="I18271" s="199"/>
      <c r="J18271" s="199"/>
    </row>
    <row r="18272" spans="9:10" x14ac:dyDescent="0.25">
      <c r="I18272" s="199"/>
      <c r="J18272" s="199"/>
    </row>
    <row r="18273" spans="9:10" x14ac:dyDescent="0.25">
      <c r="I18273" s="199"/>
      <c r="J18273" s="199"/>
    </row>
    <row r="18274" spans="9:10" x14ac:dyDescent="0.25">
      <c r="I18274" s="199"/>
      <c r="J18274" s="199"/>
    </row>
    <row r="18275" spans="9:10" x14ac:dyDescent="0.25">
      <c r="I18275" s="199"/>
      <c r="J18275" s="199"/>
    </row>
    <row r="18276" spans="9:10" x14ac:dyDescent="0.25">
      <c r="I18276" s="199"/>
      <c r="J18276" s="199"/>
    </row>
    <row r="18277" spans="9:10" x14ac:dyDescent="0.25">
      <c r="I18277" s="199"/>
      <c r="J18277" s="199"/>
    </row>
    <row r="18278" spans="9:10" x14ac:dyDescent="0.25">
      <c r="I18278" s="199"/>
      <c r="J18278" s="199"/>
    </row>
    <row r="18279" spans="9:10" x14ac:dyDescent="0.25">
      <c r="I18279" s="199"/>
      <c r="J18279" s="199"/>
    </row>
    <row r="18280" spans="9:10" x14ac:dyDescent="0.25">
      <c r="I18280" s="199"/>
      <c r="J18280" s="199"/>
    </row>
    <row r="18281" spans="9:10" x14ac:dyDescent="0.25">
      <c r="I18281" s="199"/>
      <c r="J18281" s="199"/>
    </row>
    <row r="18282" spans="9:10" x14ac:dyDescent="0.25">
      <c r="I18282" s="199"/>
      <c r="J18282" s="199"/>
    </row>
    <row r="18283" spans="9:10" x14ac:dyDescent="0.25">
      <c r="I18283" s="199"/>
      <c r="J18283" s="199"/>
    </row>
    <row r="18284" spans="9:10" x14ac:dyDescent="0.25">
      <c r="I18284" s="199"/>
      <c r="J18284" s="199"/>
    </row>
    <row r="18285" spans="9:10" x14ac:dyDescent="0.25">
      <c r="I18285" s="199"/>
      <c r="J18285" s="199"/>
    </row>
    <row r="18286" spans="9:10" x14ac:dyDescent="0.25">
      <c r="I18286" s="199"/>
      <c r="J18286" s="199"/>
    </row>
    <row r="18287" spans="9:10" x14ac:dyDescent="0.25">
      <c r="I18287" s="199"/>
      <c r="J18287" s="199"/>
    </row>
    <row r="18288" spans="9:10" x14ac:dyDescent="0.25">
      <c r="I18288" s="199"/>
      <c r="J18288" s="199"/>
    </row>
    <row r="18289" spans="9:10" x14ac:dyDescent="0.25">
      <c r="I18289" s="199"/>
      <c r="J18289" s="199"/>
    </row>
    <row r="18290" spans="9:10" x14ac:dyDescent="0.25">
      <c r="I18290" s="199"/>
      <c r="J18290" s="199"/>
    </row>
    <row r="18291" spans="9:10" x14ac:dyDescent="0.25">
      <c r="I18291" s="199"/>
      <c r="J18291" s="199"/>
    </row>
    <row r="18292" spans="9:10" x14ac:dyDescent="0.25">
      <c r="I18292" s="199"/>
      <c r="J18292" s="199"/>
    </row>
    <row r="18293" spans="9:10" x14ac:dyDescent="0.25">
      <c r="I18293" s="199"/>
      <c r="J18293" s="199"/>
    </row>
    <row r="18294" spans="9:10" x14ac:dyDescent="0.25">
      <c r="I18294" s="199"/>
      <c r="J18294" s="199"/>
    </row>
    <row r="18295" spans="9:10" x14ac:dyDescent="0.25">
      <c r="I18295" s="199"/>
      <c r="J18295" s="199"/>
    </row>
    <row r="18296" spans="9:10" x14ac:dyDescent="0.25">
      <c r="I18296" s="199"/>
      <c r="J18296" s="199"/>
    </row>
    <row r="18297" spans="9:10" x14ac:dyDescent="0.25">
      <c r="I18297" s="199"/>
      <c r="J18297" s="199"/>
    </row>
    <row r="18298" spans="9:10" x14ac:dyDescent="0.25">
      <c r="I18298" s="199"/>
      <c r="J18298" s="199"/>
    </row>
    <row r="18299" spans="9:10" x14ac:dyDescent="0.25">
      <c r="I18299" s="199"/>
      <c r="J18299" s="199"/>
    </row>
    <row r="18300" spans="9:10" x14ac:dyDescent="0.25">
      <c r="I18300" s="199"/>
      <c r="J18300" s="199"/>
    </row>
    <row r="18301" spans="9:10" x14ac:dyDescent="0.25">
      <c r="I18301" s="199"/>
      <c r="J18301" s="199"/>
    </row>
    <row r="18302" spans="9:10" x14ac:dyDescent="0.25">
      <c r="I18302" s="199"/>
      <c r="J18302" s="199"/>
    </row>
    <row r="18303" spans="9:10" x14ac:dyDescent="0.25">
      <c r="I18303" s="199"/>
      <c r="J18303" s="199"/>
    </row>
    <row r="18304" spans="9:10" x14ac:dyDescent="0.25">
      <c r="I18304" s="199"/>
      <c r="J18304" s="199"/>
    </row>
    <row r="18305" spans="9:10" x14ac:dyDescent="0.25">
      <c r="I18305" s="199"/>
      <c r="J18305" s="199"/>
    </row>
    <row r="18306" spans="9:10" x14ac:dyDescent="0.25">
      <c r="I18306" s="199"/>
      <c r="J18306" s="199"/>
    </row>
    <row r="18307" spans="9:10" x14ac:dyDescent="0.25">
      <c r="I18307" s="199"/>
      <c r="J18307" s="199"/>
    </row>
    <row r="18308" spans="9:10" x14ac:dyDescent="0.25">
      <c r="I18308" s="199"/>
      <c r="J18308" s="199"/>
    </row>
    <row r="18309" spans="9:10" x14ac:dyDescent="0.25">
      <c r="I18309" s="199"/>
      <c r="J18309" s="199"/>
    </row>
    <row r="18310" spans="9:10" x14ac:dyDescent="0.25">
      <c r="I18310" s="199"/>
      <c r="J18310" s="199"/>
    </row>
    <row r="18311" spans="9:10" x14ac:dyDescent="0.25">
      <c r="I18311" s="199"/>
      <c r="J18311" s="199"/>
    </row>
    <row r="18312" spans="9:10" x14ac:dyDescent="0.25">
      <c r="I18312" s="199"/>
      <c r="J18312" s="199"/>
    </row>
    <row r="18313" spans="9:10" x14ac:dyDescent="0.25">
      <c r="I18313" s="199"/>
      <c r="J18313" s="199"/>
    </row>
    <row r="18314" spans="9:10" x14ac:dyDescent="0.25">
      <c r="I18314" s="199"/>
      <c r="J18314" s="199"/>
    </row>
    <row r="18315" spans="9:10" x14ac:dyDescent="0.25">
      <c r="I18315" s="199"/>
      <c r="J18315" s="199"/>
    </row>
    <row r="18316" spans="9:10" x14ac:dyDescent="0.25">
      <c r="I18316" s="199"/>
      <c r="J18316" s="199"/>
    </row>
    <row r="18317" spans="9:10" x14ac:dyDescent="0.25">
      <c r="I18317" s="199"/>
      <c r="J18317" s="199"/>
    </row>
    <row r="18318" spans="9:10" x14ac:dyDescent="0.25">
      <c r="I18318" s="199"/>
      <c r="J18318" s="199"/>
    </row>
    <row r="18319" spans="9:10" x14ac:dyDescent="0.25">
      <c r="I18319" s="199"/>
      <c r="J18319" s="199"/>
    </row>
    <row r="18320" spans="9:10" x14ac:dyDescent="0.25">
      <c r="I18320" s="199"/>
      <c r="J18320" s="199"/>
    </row>
    <row r="18321" spans="9:10" x14ac:dyDescent="0.25">
      <c r="I18321" s="199"/>
      <c r="J18321" s="199"/>
    </row>
    <row r="18322" spans="9:10" x14ac:dyDescent="0.25">
      <c r="I18322" s="199"/>
      <c r="J18322" s="199"/>
    </row>
    <row r="18323" spans="9:10" x14ac:dyDescent="0.25">
      <c r="I18323" s="199"/>
      <c r="J18323" s="199"/>
    </row>
    <row r="18324" spans="9:10" x14ac:dyDescent="0.25">
      <c r="I18324" s="199"/>
      <c r="J18324" s="199"/>
    </row>
    <row r="18325" spans="9:10" x14ac:dyDescent="0.25">
      <c r="I18325" s="199"/>
      <c r="J18325" s="199"/>
    </row>
    <row r="18326" spans="9:10" x14ac:dyDescent="0.25">
      <c r="I18326" s="199"/>
      <c r="J18326" s="199"/>
    </row>
    <row r="18327" spans="9:10" x14ac:dyDescent="0.25">
      <c r="I18327" s="199"/>
      <c r="J18327" s="199"/>
    </row>
    <row r="18328" spans="9:10" x14ac:dyDescent="0.25">
      <c r="I18328" s="199"/>
      <c r="J18328" s="199"/>
    </row>
    <row r="18329" spans="9:10" x14ac:dyDescent="0.25">
      <c r="I18329" s="199"/>
      <c r="J18329" s="199"/>
    </row>
    <row r="18330" spans="9:10" x14ac:dyDescent="0.25">
      <c r="I18330" s="199"/>
      <c r="J18330" s="199"/>
    </row>
    <row r="18331" spans="9:10" x14ac:dyDescent="0.25">
      <c r="I18331" s="199"/>
      <c r="J18331" s="199"/>
    </row>
    <row r="18332" spans="9:10" x14ac:dyDescent="0.25">
      <c r="I18332" s="199"/>
      <c r="J18332" s="199"/>
    </row>
    <row r="18333" spans="9:10" x14ac:dyDescent="0.25">
      <c r="I18333" s="199"/>
      <c r="J18333" s="199"/>
    </row>
    <row r="18334" spans="9:10" x14ac:dyDescent="0.25">
      <c r="I18334" s="199"/>
      <c r="J18334" s="199"/>
    </row>
    <row r="18335" spans="9:10" x14ac:dyDescent="0.25">
      <c r="I18335" s="199"/>
      <c r="J18335" s="199"/>
    </row>
    <row r="18336" spans="9:10" x14ac:dyDescent="0.25">
      <c r="I18336" s="199"/>
      <c r="J18336" s="199"/>
    </row>
    <row r="18337" spans="9:10" x14ac:dyDescent="0.25">
      <c r="I18337" s="199"/>
      <c r="J18337" s="199"/>
    </row>
    <row r="18338" spans="9:10" x14ac:dyDescent="0.25">
      <c r="I18338" s="199"/>
      <c r="J18338" s="199"/>
    </row>
    <row r="18339" spans="9:10" x14ac:dyDescent="0.25">
      <c r="I18339" s="199"/>
      <c r="J18339" s="199"/>
    </row>
    <row r="18340" spans="9:10" x14ac:dyDescent="0.25">
      <c r="I18340" s="199"/>
      <c r="J18340" s="199"/>
    </row>
    <row r="18341" spans="9:10" x14ac:dyDescent="0.25">
      <c r="I18341" s="199"/>
      <c r="J18341" s="199"/>
    </row>
    <row r="18342" spans="9:10" x14ac:dyDescent="0.25">
      <c r="I18342" s="199"/>
      <c r="J18342" s="199"/>
    </row>
    <row r="18343" spans="9:10" x14ac:dyDescent="0.25">
      <c r="I18343" s="199"/>
      <c r="J18343" s="199"/>
    </row>
    <row r="18344" spans="9:10" x14ac:dyDescent="0.25">
      <c r="I18344" s="199"/>
      <c r="J18344" s="199"/>
    </row>
    <row r="18345" spans="9:10" x14ac:dyDescent="0.25">
      <c r="I18345" s="199"/>
      <c r="J18345" s="199"/>
    </row>
    <row r="18346" spans="9:10" x14ac:dyDescent="0.25">
      <c r="I18346" s="199"/>
      <c r="J18346" s="199"/>
    </row>
    <row r="18347" spans="9:10" x14ac:dyDescent="0.25">
      <c r="I18347" s="199"/>
      <c r="J18347" s="199"/>
    </row>
    <row r="18348" spans="9:10" x14ac:dyDescent="0.25">
      <c r="I18348" s="199"/>
      <c r="J18348" s="199"/>
    </row>
    <row r="18349" spans="9:10" x14ac:dyDescent="0.25">
      <c r="I18349" s="199"/>
      <c r="J18349" s="199"/>
    </row>
    <row r="18350" spans="9:10" x14ac:dyDescent="0.25">
      <c r="I18350" s="199"/>
      <c r="J18350" s="199"/>
    </row>
    <row r="18351" spans="9:10" x14ac:dyDescent="0.25">
      <c r="I18351" s="199"/>
      <c r="J18351" s="199"/>
    </row>
    <row r="18352" spans="9:10" x14ac:dyDescent="0.25">
      <c r="I18352" s="199"/>
      <c r="J18352" s="199"/>
    </row>
    <row r="18353" spans="9:10" x14ac:dyDescent="0.25">
      <c r="I18353" s="199"/>
      <c r="J18353" s="199"/>
    </row>
    <row r="18354" spans="9:10" x14ac:dyDescent="0.25">
      <c r="I18354" s="199"/>
      <c r="J18354" s="199"/>
    </row>
    <row r="18355" spans="9:10" x14ac:dyDescent="0.25">
      <c r="I18355" s="199"/>
      <c r="J18355" s="199"/>
    </row>
    <row r="18356" spans="9:10" x14ac:dyDescent="0.25">
      <c r="I18356" s="199"/>
      <c r="J18356" s="199"/>
    </row>
    <row r="18357" spans="9:10" x14ac:dyDescent="0.25">
      <c r="I18357" s="199"/>
      <c r="J18357" s="199"/>
    </row>
    <row r="18358" spans="9:10" x14ac:dyDescent="0.25">
      <c r="I18358" s="199"/>
      <c r="J18358" s="199"/>
    </row>
    <row r="18359" spans="9:10" x14ac:dyDescent="0.25">
      <c r="I18359" s="199"/>
      <c r="J18359" s="199"/>
    </row>
    <row r="18360" spans="9:10" x14ac:dyDescent="0.25">
      <c r="I18360" s="199"/>
      <c r="J18360" s="199"/>
    </row>
    <row r="18361" spans="9:10" x14ac:dyDescent="0.25">
      <c r="I18361" s="199"/>
      <c r="J18361" s="199"/>
    </row>
    <row r="18362" spans="9:10" x14ac:dyDescent="0.25">
      <c r="I18362" s="199"/>
      <c r="J18362" s="199"/>
    </row>
    <row r="18363" spans="9:10" x14ac:dyDescent="0.25">
      <c r="I18363" s="199"/>
      <c r="J18363" s="199"/>
    </row>
    <row r="18364" spans="9:10" x14ac:dyDescent="0.25">
      <c r="I18364" s="199"/>
      <c r="J18364" s="199"/>
    </row>
    <row r="18365" spans="9:10" x14ac:dyDescent="0.25">
      <c r="I18365" s="199"/>
      <c r="J18365" s="199"/>
    </row>
    <row r="18366" spans="9:10" x14ac:dyDescent="0.25">
      <c r="I18366" s="199"/>
      <c r="J18366" s="199"/>
    </row>
    <row r="18367" spans="9:10" x14ac:dyDescent="0.25">
      <c r="I18367" s="199"/>
      <c r="J18367" s="199"/>
    </row>
    <row r="18368" spans="9:10" x14ac:dyDescent="0.25">
      <c r="I18368" s="199"/>
      <c r="J18368" s="199"/>
    </row>
    <row r="18369" spans="9:10" x14ac:dyDescent="0.25">
      <c r="I18369" s="199"/>
      <c r="J18369" s="199"/>
    </row>
    <row r="18370" spans="9:10" x14ac:dyDescent="0.25">
      <c r="I18370" s="199"/>
      <c r="J18370" s="199"/>
    </row>
    <row r="18371" spans="9:10" x14ac:dyDescent="0.25">
      <c r="I18371" s="199"/>
      <c r="J18371" s="199"/>
    </row>
    <row r="18372" spans="9:10" x14ac:dyDescent="0.25">
      <c r="I18372" s="199"/>
      <c r="J18372" s="199"/>
    </row>
    <row r="18373" spans="9:10" x14ac:dyDescent="0.25">
      <c r="I18373" s="199"/>
      <c r="J18373" s="199"/>
    </row>
    <row r="18374" spans="9:10" x14ac:dyDescent="0.25">
      <c r="I18374" s="199"/>
      <c r="J18374" s="199"/>
    </row>
    <row r="18375" spans="9:10" x14ac:dyDescent="0.25">
      <c r="I18375" s="199"/>
      <c r="J18375" s="199"/>
    </row>
    <row r="18376" spans="9:10" x14ac:dyDescent="0.25">
      <c r="I18376" s="199"/>
      <c r="J18376" s="199"/>
    </row>
    <row r="18377" spans="9:10" x14ac:dyDescent="0.25">
      <c r="I18377" s="199"/>
      <c r="J18377" s="199"/>
    </row>
    <row r="18378" spans="9:10" x14ac:dyDescent="0.25">
      <c r="I18378" s="199"/>
      <c r="J18378" s="199"/>
    </row>
    <row r="18379" spans="9:10" x14ac:dyDescent="0.25">
      <c r="I18379" s="199"/>
      <c r="J18379" s="199"/>
    </row>
    <row r="18380" spans="9:10" x14ac:dyDescent="0.25">
      <c r="I18380" s="199"/>
      <c r="J18380" s="199"/>
    </row>
    <row r="18381" spans="9:10" x14ac:dyDescent="0.25">
      <c r="I18381" s="199"/>
      <c r="J18381" s="199"/>
    </row>
    <row r="18382" spans="9:10" x14ac:dyDescent="0.25">
      <c r="I18382" s="199"/>
      <c r="J18382" s="199"/>
    </row>
    <row r="18383" spans="9:10" x14ac:dyDescent="0.25">
      <c r="I18383" s="199"/>
      <c r="J18383" s="199"/>
    </row>
    <row r="18384" spans="9:10" x14ac:dyDescent="0.25">
      <c r="I18384" s="199"/>
      <c r="J18384" s="199"/>
    </row>
    <row r="18385" spans="9:10" x14ac:dyDescent="0.25">
      <c r="I18385" s="199"/>
      <c r="J18385" s="199"/>
    </row>
    <row r="18386" spans="9:10" x14ac:dyDescent="0.25">
      <c r="I18386" s="199"/>
      <c r="J18386" s="199"/>
    </row>
    <row r="18387" spans="9:10" x14ac:dyDescent="0.25">
      <c r="I18387" s="199"/>
      <c r="J18387" s="199"/>
    </row>
    <row r="18388" spans="9:10" x14ac:dyDescent="0.25">
      <c r="I18388" s="199"/>
      <c r="J18388" s="199"/>
    </row>
    <row r="18389" spans="9:10" x14ac:dyDescent="0.25">
      <c r="I18389" s="199"/>
      <c r="J18389" s="199"/>
    </row>
    <row r="18390" spans="9:10" x14ac:dyDescent="0.25">
      <c r="I18390" s="199"/>
      <c r="J18390" s="199"/>
    </row>
    <row r="18391" spans="9:10" x14ac:dyDescent="0.25">
      <c r="I18391" s="199"/>
      <c r="J18391" s="199"/>
    </row>
    <row r="18392" spans="9:10" x14ac:dyDescent="0.25">
      <c r="I18392" s="199"/>
      <c r="J18392" s="199"/>
    </row>
    <row r="18393" spans="9:10" x14ac:dyDescent="0.25">
      <c r="I18393" s="199"/>
      <c r="J18393" s="199"/>
    </row>
    <row r="18394" spans="9:10" x14ac:dyDescent="0.25">
      <c r="I18394" s="199"/>
      <c r="J18394" s="199"/>
    </row>
    <row r="18395" spans="9:10" x14ac:dyDescent="0.25">
      <c r="I18395" s="199"/>
      <c r="J18395" s="199"/>
    </row>
    <row r="18396" spans="9:10" x14ac:dyDescent="0.25">
      <c r="I18396" s="199"/>
      <c r="J18396" s="199"/>
    </row>
    <row r="18397" spans="9:10" x14ac:dyDescent="0.25">
      <c r="I18397" s="199"/>
      <c r="J18397" s="199"/>
    </row>
    <row r="18398" spans="9:10" x14ac:dyDescent="0.25">
      <c r="I18398" s="199"/>
      <c r="J18398" s="199"/>
    </row>
    <row r="18399" spans="9:10" x14ac:dyDescent="0.25">
      <c r="I18399" s="199"/>
      <c r="J18399" s="199"/>
    </row>
    <row r="18400" spans="9:10" x14ac:dyDescent="0.25">
      <c r="I18400" s="199"/>
      <c r="J18400" s="199"/>
    </row>
    <row r="18401" spans="9:10" x14ac:dyDescent="0.25">
      <c r="I18401" s="199"/>
      <c r="J18401" s="199"/>
    </row>
    <row r="18402" spans="9:10" x14ac:dyDescent="0.25">
      <c r="I18402" s="199"/>
      <c r="J18402" s="199"/>
    </row>
    <row r="18403" spans="9:10" x14ac:dyDescent="0.25">
      <c r="I18403" s="199"/>
      <c r="J18403" s="199"/>
    </row>
    <row r="18404" spans="9:10" x14ac:dyDescent="0.25">
      <c r="I18404" s="199"/>
      <c r="J18404" s="199"/>
    </row>
    <row r="18405" spans="9:10" x14ac:dyDescent="0.25">
      <c r="I18405" s="199"/>
      <c r="J18405" s="199"/>
    </row>
    <row r="18406" spans="9:10" x14ac:dyDescent="0.25">
      <c r="I18406" s="199"/>
      <c r="J18406" s="199"/>
    </row>
    <row r="18407" spans="9:10" x14ac:dyDescent="0.25">
      <c r="I18407" s="199"/>
      <c r="J18407" s="199"/>
    </row>
    <row r="18408" spans="9:10" x14ac:dyDescent="0.25">
      <c r="I18408" s="199"/>
      <c r="J18408" s="199"/>
    </row>
    <row r="18409" spans="9:10" x14ac:dyDescent="0.25">
      <c r="I18409" s="199"/>
      <c r="J18409" s="199"/>
    </row>
    <row r="18410" spans="9:10" x14ac:dyDescent="0.25">
      <c r="I18410" s="199"/>
      <c r="J18410" s="199"/>
    </row>
    <row r="18411" spans="9:10" x14ac:dyDescent="0.25">
      <c r="I18411" s="199"/>
      <c r="J18411" s="199"/>
    </row>
    <row r="18412" spans="9:10" x14ac:dyDescent="0.25">
      <c r="I18412" s="199"/>
      <c r="J18412" s="199"/>
    </row>
    <row r="18413" spans="9:10" x14ac:dyDescent="0.25">
      <c r="I18413" s="199"/>
      <c r="J18413" s="199"/>
    </row>
    <row r="18414" spans="9:10" x14ac:dyDescent="0.25">
      <c r="I18414" s="199"/>
      <c r="J18414" s="199"/>
    </row>
    <row r="18415" spans="9:10" x14ac:dyDescent="0.25">
      <c r="I18415" s="199"/>
      <c r="J18415" s="199"/>
    </row>
    <row r="18416" spans="9:10" x14ac:dyDescent="0.25">
      <c r="I18416" s="199"/>
      <c r="J18416" s="199"/>
    </row>
    <row r="18417" spans="9:10" x14ac:dyDescent="0.25">
      <c r="I18417" s="199"/>
      <c r="J18417" s="199"/>
    </row>
    <row r="18418" spans="9:10" x14ac:dyDescent="0.25">
      <c r="I18418" s="199"/>
      <c r="J18418" s="199"/>
    </row>
    <row r="18419" spans="9:10" x14ac:dyDescent="0.25">
      <c r="I18419" s="199"/>
      <c r="J18419" s="199"/>
    </row>
    <row r="18420" spans="9:10" x14ac:dyDescent="0.25">
      <c r="I18420" s="199"/>
      <c r="J18420" s="199"/>
    </row>
    <row r="18421" spans="9:10" x14ac:dyDescent="0.25">
      <c r="I18421" s="199"/>
      <c r="J18421" s="199"/>
    </row>
    <row r="18422" spans="9:10" x14ac:dyDescent="0.25">
      <c r="I18422" s="199"/>
      <c r="J18422" s="199"/>
    </row>
    <row r="18423" spans="9:10" x14ac:dyDescent="0.25">
      <c r="I18423" s="199"/>
      <c r="J18423" s="199"/>
    </row>
    <row r="18424" spans="9:10" x14ac:dyDescent="0.25">
      <c r="I18424" s="199"/>
      <c r="J18424" s="199"/>
    </row>
    <row r="18425" spans="9:10" x14ac:dyDescent="0.25">
      <c r="I18425" s="199"/>
      <c r="J18425" s="199"/>
    </row>
    <row r="18426" spans="9:10" x14ac:dyDescent="0.25">
      <c r="I18426" s="199"/>
      <c r="J18426" s="199"/>
    </row>
    <row r="18427" spans="9:10" x14ac:dyDescent="0.25">
      <c r="I18427" s="199"/>
      <c r="J18427" s="199"/>
    </row>
    <row r="18428" spans="9:10" x14ac:dyDescent="0.25">
      <c r="I18428" s="199"/>
      <c r="J18428" s="199"/>
    </row>
    <row r="18429" spans="9:10" x14ac:dyDescent="0.25">
      <c r="I18429" s="199"/>
      <c r="J18429" s="199"/>
    </row>
    <row r="18430" spans="9:10" x14ac:dyDescent="0.25">
      <c r="I18430" s="199"/>
      <c r="J18430" s="199"/>
    </row>
    <row r="18431" spans="9:10" x14ac:dyDescent="0.25">
      <c r="I18431" s="199"/>
      <c r="J18431" s="199"/>
    </row>
    <row r="18432" spans="9:10" x14ac:dyDescent="0.25">
      <c r="I18432" s="199"/>
      <c r="J18432" s="199"/>
    </row>
    <row r="18433" spans="9:10" x14ac:dyDescent="0.25">
      <c r="I18433" s="199"/>
      <c r="J18433" s="199"/>
    </row>
    <row r="18434" spans="9:10" x14ac:dyDescent="0.25">
      <c r="I18434" s="199"/>
      <c r="J18434" s="199"/>
    </row>
    <row r="18435" spans="9:10" x14ac:dyDescent="0.25">
      <c r="I18435" s="199"/>
      <c r="J18435" s="199"/>
    </row>
    <row r="18436" spans="9:10" x14ac:dyDescent="0.25">
      <c r="I18436" s="199"/>
      <c r="J18436" s="199"/>
    </row>
    <row r="18437" spans="9:10" x14ac:dyDescent="0.25">
      <c r="I18437" s="199"/>
      <c r="J18437" s="199"/>
    </row>
    <row r="18438" spans="9:10" x14ac:dyDescent="0.25">
      <c r="I18438" s="199"/>
      <c r="J18438" s="199"/>
    </row>
    <row r="18439" spans="9:10" x14ac:dyDescent="0.25">
      <c r="I18439" s="199"/>
      <c r="J18439" s="199"/>
    </row>
    <row r="18440" spans="9:10" x14ac:dyDescent="0.25">
      <c r="I18440" s="199"/>
      <c r="J18440" s="199"/>
    </row>
    <row r="18441" spans="9:10" x14ac:dyDescent="0.25">
      <c r="I18441" s="199"/>
      <c r="J18441" s="199"/>
    </row>
    <row r="18442" spans="9:10" x14ac:dyDescent="0.25">
      <c r="I18442" s="199"/>
      <c r="J18442" s="199"/>
    </row>
    <row r="18443" spans="9:10" x14ac:dyDescent="0.25">
      <c r="I18443" s="199"/>
      <c r="J18443" s="199"/>
    </row>
    <row r="18444" spans="9:10" x14ac:dyDescent="0.25">
      <c r="I18444" s="199"/>
      <c r="J18444" s="199"/>
    </row>
    <row r="18445" spans="9:10" x14ac:dyDescent="0.25">
      <c r="I18445" s="199"/>
      <c r="J18445" s="199"/>
    </row>
    <row r="18446" spans="9:10" x14ac:dyDescent="0.25">
      <c r="I18446" s="199"/>
      <c r="J18446" s="199"/>
    </row>
    <row r="18447" spans="9:10" x14ac:dyDescent="0.25">
      <c r="I18447" s="199"/>
      <c r="J18447" s="199"/>
    </row>
    <row r="18448" spans="9:10" x14ac:dyDescent="0.25">
      <c r="I18448" s="199"/>
      <c r="J18448" s="199"/>
    </row>
    <row r="18449" spans="9:10" x14ac:dyDescent="0.25">
      <c r="I18449" s="199"/>
      <c r="J18449" s="199"/>
    </row>
    <row r="18450" spans="9:10" x14ac:dyDescent="0.25">
      <c r="I18450" s="199"/>
      <c r="J18450" s="199"/>
    </row>
    <row r="18451" spans="9:10" x14ac:dyDescent="0.25">
      <c r="I18451" s="199"/>
      <c r="J18451" s="199"/>
    </row>
    <row r="18452" spans="9:10" x14ac:dyDescent="0.25">
      <c r="I18452" s="199"/>
      <c r="J18452" s="199"/>
    </row>
    <row r="18453" spans="9:10" x14ac:dyDescent="0.25">
      <c r="I18453" s="199"/>
      <c r="J18453" s="199"/>
    </row>
    <row r="18454" spans="9:10" x14ac:dyDescent="0.25">
      <c r="I18454" s="199"/>
      <c r="J18454" s="199"/>
    </row>
    <row r="18455" spans="9:10" x14ac:dyDescent="0.25">
      <c r="I18455" s="199"/>
      <c r="J18455" s="199"/>
    </row>
    <row r="18456" spans="9:10" x14ac:dyDescent="0.25">
      <c r="I18456" s="199"/>
      <c r="J18456" s="199"/>
    </row>
    <row r="18457" spans="9:10" x14ac:dyDescent="0.25">
      <c r="I18457" s="199"/>
      <c r="J18457" s="199"/>
    </row>
    <row r="18458" spans="9:10" x14ac:dyDescent="0.25">
      <c r="I18458" s="199"/>
      <c r="J18458" s="199"/>
    </row>
    <row r="18459" spans="9:10" x14ac:dyDescent="0.25">
      <c r="I18459" s="199"/>
      <c r="J18459" s="199"/>
    </row>
    <row r="18460" spans="9:10" x14ac:dyDescent="0.25">
      <c r="I18460" s="199"/>
      <c r="J18460" s="199"/>
    </row>
    <row r="18461" spans="9:10" x14ac:dyDescent="0.25">
      <c r="I18461" s="199"/>
      <c r="J18461" s="199"/>
    </row>
    <row r="18462" spans="9:10" x14ac:dyDescent="0.25">
      <c r="I18462" s="199"/>
      <c r="J18462" s="199"/>
    </row>
    <row r="18463" spans="9:10" x14ac:dyDescent="0.25">
      <c r="I18463" s="199"/>
      <c r="J18463" s="199"/>
    </row>
    <row r="18464" spans="9:10" x14ac:dyDescent="0.25">
      <c r="I18464" s="199"/>
      <c r="J18464" s="199"/>
    </row>
    <row r="18465" spans="9:10" x14ac:dyDescent="0.25">
      <c r="I18465" s="199"/>
      <c r="J18465" s="199"/>
    </row>
    <row r="18466" spans="9:10" x14ac:dyDescent="0.25">
      <c r="I18466" s="199"/>
      <c r="J18466" s="199"/>
    </row>
    <row r="18467" spans="9:10" x14ac:dyDescent="0.25">
      <c r="I18467" s="199"/>
      <c r="J18467" s="199"/>
    </row>
    <row r="18468" spans="9:10" x14ac:dyDescent="0.25">
      <c r="I18468" s="199"/>
      <c r="J18468" s="199"/>
    </row>
    <row r="18469" spans="9:10" x14ac:dyDescent="0.25">
      <c r="I18469" s="199"/>
      <c r="J18469" s="199"/>
    </row>
    <row r="18470" spans="9:10" x14ac:dyDescent="0.25">
      <c r="I18470" s="199"/>
      <c r="J18470" s="199"/>
    </row>
    <row r="18471" spans="9:10" x14ac:dyDescent="0.25">
      <c r="I18471" s="199"/>
      <c r="J18471" s="199"/>
    </row>
    <row r="18472" spans="9:10" x14ac:dyDescent="0.25">
      <c r="I18472" s="199"/>
      <c r="J18472" s="199"/>
    </row>
    <row r="18473" spans="9:10" x14ac:dyDescent="0.25">
      <c r="I18473" s="199"/>
      <c r="J18473" s="199"/>
    </row>
    <row r="18474" spans="9:10" x14ac:dyDescent="0.25">
      <c r="I18474" s="199"/>
      <c r="J18474" s="199"/>
    </row>
    <row r="18475" spans="9:10" x14ac:dyDescent="0.25">
      <c r="I18475" s="199"/>
      <c r="J18475" s="199"/>
    </row>
    <row r="18476" spans="9:10" x14ac:dyDescent="0.25">
      <c r="I18476" s="199"/>
      <c r="J18476" s="199"/>
    </row>
    <row r="18477" spans="9:10" x14ac:dyDescent="0.25">
      <c r="I18477" s="199"/>
      <c r="J18477" s="199"/>
    </row>
    <row r="18478" spans="9:10" x14ac:dyDescent="0.25">
      <c r="I18478" s="199"/>
      <c r="J18478" s="199"/>
    </row>
    <row r="18479" spans="9:10" x14ac:dyDescent="0.25">
      <c r="I18479" s="199"/>
      <c r="J18479" s="199"/>
    </row>
    <row r="18480" spans="9:10" x14ac:dyDescent="0.25">
      <c r="I18480" s="199"/>
      <c r="J18480" s="199"/>
    </row>
    <row r="18481" spans="9:10" x14ac:dyDescent="0.25">
      <c r="I18481" s="199"/>
      <c r="J18481" s="199"/>
    </row>
    <row r="18482" spans="9:10" x14ac:dyDescent="0.25">
      <c r="I18482" s="199"/>
      <c r="J18482" s="199"/>
    </row>
    <row r="18483" spans="9:10" x14ac:dyDescent="0.25">
      <c r="I18483" s="199"/>
      <c r="J18483" s="199"/>
    </row>
    <row r="18484" spans="9:10" x14ac:dyDescent="0.25">
      <c r="I18484" s="199"/>
      <c r="J18484" s="199"/>
    </row>
    <row r="18485" spans="9:10" x14ac:dyDescent="0.25">
      <c r="I18485" s="199"/>
      <c r="J18485" s="199"/>
    </row>
    <row r="18486" spans="9:10" x14ac:dyDescent="0.25">
      <c r="I18486" s="199"/>
      <c r="J18486" s="199"/>
    </row>
    <row r="18487" spans="9:10" x14ac:dyDescent="0.25">
      <c r="I18487" s="199"/>
      <c r="J18487" s="199"/>
    </row>
    <row r="18488" spans="9:10" x14ac:dyDescent="0.25">
      <c r="I18488" s="199"/>
      <c r="J18488" s="199"/>
    </row>
    <row r="18489" spans="9:10" x14ac:dyDescent="0.25">
      <c r="I18489" s="199"/>
      <c r="J18489" s="199"/>
    </row>
    <row r="18490" spans="9:10" x14ac:dyDescent="0.25">
      <c r="I18490" s="199"/>
      <c r="J18490" s="199"/>
    </row>
    <row r="18491" spans="9:10" x14ac:dyDescent="0.25">
      <c r="I18491" s="199"/>
      <c r="J18491" s="199"/>
    </row>
    <row r="18492" spans="9:10" x14ac:dyDescent="0.25">
      <c r="I18492" s="199"/>
      <c r="J18492" s="199"/>
    </row>
    <row r="18493" spans="9:10" x14ac:dyDescent="0.25">
      <c r="I18493" s="199"/>
      <c r="J18493" s="199"/>
    </row>
    <row r="18494" spans="9:10" x14ac:dyDescent="0.25">
      <c r="I18494" s="199"/>
      <c r="J18494" s="199"/>
    </row>
    <row r="18495" spans="9:10" x14ac:dyDescent="0.25">
      <c r="I18495" s="199"/>
      <c r="J18495" s="199"/>
    </row>
    <row r="18496" spans="9:10" x14ac:dyDescent="0.25">
      <c r="I18496" s="199"/>
      <c r="J18496" s="199"/>
    </row>
    <row r="18497" spans="9:10" x14ac:dyDescent="0.25">
      <c r="I18497" s="199"/>
      <c r="J18497" s="199"/>
    </row>
    <row r="18498" spans="9:10" x14ac:dyDescent="0.25">
      <c r="I18498" s="199"/>
      <c r="J18498" s="199"/>
    </row>
    <row r="18499" spans="9:10" x14ac:dyDescent="0.25">
      <c r="I18499" s="199"/>
      <c r="J18499" s="199"/>
    </row>
    <row r="18500" spans="9:10" x14ac:dyDescent="0.25">
      <c r="I18500" s="199"/>
      <c r="J18500" s="199"/>
    </row>
    <row r="18501" spans="9:10" x14ac:dyDescent="0.25">
      <c r="I18501" s="199"/>
      <c r="J18501" s="199"/>
    </row>
    <row r="18502" spans="9:10" x14ac:dyDescent="0.25">
      <c r="I18502" s="199"/>
      <c r="J18502" s="199"/>
    </row>
    <row r="18503" spans="9:10" x14ac:dyDescent="0.25">
      <c r="I18503" s="199"/>
      <c r="J18503" s="199"/>
    </row>
    <row r="18504" spans="9:10" x14ac:dyDescent="0.25">
      <c r="I18504" s="199"/>
      <c r="J18504" s="199"/>
    </row>
    <row r="18505" spans="9:10" x14ac:dyDescent="0.25">
      <c r="I18505" s="199"/>
      <c r="J18505" s="199"/>
    </row>
    <row r="18506" spans="9:10" x14ac:dyDescent="0.25">
      <c r="I18506" s="199"/>
      <c r="J18506" s="199"/>
    </row>
    <row r="18507" spans="9:10" x14ac:dyDescent="0.25">
      <c r="I18507" s="199"/>
      <c r="J18507" s="199"/>
    </row>
    <row r="18508" spans="9:10" x14ac:dyDescent="0.25">
      <c r="I18508" s="199"/>
      <c r="J18508" s="199"/>
    </row>
    <row r="18509" spans="9:10" x14ac:dyDescent="0.25">
      <c r="I18509" s="199"/>
      <c r="J18509" s="199"/>
    </row>
    <row r="18510" spans="9:10" x14ac:dyDescent="0.25">
      <c r="I18510" s="199"/>
      <c r="J18510" s="199"/>
    </row>
    <row r="18511" spans="9:10" x14ac:dyDescent="0.25">
      <c r="I18511" s="199"/>
      <c r="J18511" s="199"/>
    </row>
    <row r="18512" spans="9:10" x14ac:dyDescent="0.25">
      <c r="I18512" s="199"/>
      <c r="J18512" s="199"/>
    </row>
    <row r="18513" spans="9:10" x14ac:dyDescent="0.25">
      <c r="I18513" s="199"/>
      <c r="J18513" s="199"/>
    </row>
    <row r="18514" spans="9:10" x14ac:dyDescent="0.25">
      <c r="I18514" s="199"/>
      <c r="J18514" s="199"/>
    </row>
    <row r="18515" spans="9:10" x14ac:dyDescent="0.25">
      <c r="I18515" s="199"/>
      <c r="J18515" s="199"/>
    </row>
    <row r="18516" spans="9:10" x14ac:dyDescent="0.25">
      <c r="I18516" s="199"/>
      <c r="J18516" s="199"/>
    </row>
    <row r="18517" spans="9:10" x14ac:dyDescent="0.25">
      <c r="I18517" s="199"/>
      <c r="J18517" s="199"/>
    </row>
    <row r="18518" spans="9:10" x14ac:dyDescent="0.25">
      <c r="I18518" s="199"/>
      <c r="J18518" s="199"/>
    </row>
    <row r="18519" spans="9:10" x14ac:dyDescent="0.25">
      <c r="I18519" s="199"/>
      <c r="J18519" s="199"/>
    </row>
    <row r="18520" spans="9:10" x14ac:dyDescent="0.25">
      <c r="I18520" s="199"/>
      <c r="J18520" s="199"/>
    </row>
    <row r="18521" spans="9:10" x14ac:dyDescent="0.25">
      <c r="I18521" s="199"/>
      <c r="J18521" s="199"/>
    </row>
    <row r="18522" spans="9:10" x14ac:dyDescent="0.25">
      <c r="I18522" s="199"/>
      <c r="J18522" s="199"/>
    </row>
    <row r="18523" spans="9:10" x14ac:dyDescent="0.25">
      <c r="I18523" s="199"/>
      <c r="J18523" s="199"/>
    </row>
    <row r="18524" spans="9:10" x14ac:dyDescent="0.25">
      <c r="I18524" s="199"/>
      <c r="J18524" s="199"/>
    </row>
    <row r="18525" spans="9:10" x14ac:dyDescent="0.25">
      <c r="I18525" s="199"/>
      <c r="J18525" s="199"/>
    </row>
    <row r="18526" spans="9:10" x14ac:dyDescent="0.25">
      <c r="I18526" s="199"/>
      <c r="J18526" s="199"/>
    </row>
    <row r="18527" spans="9:10" x14ac:dyDescent="0.25">
      <c r="I18527" s="199"/>
      <c r="J18527" s="199"/>
    </row>
    <row r="18528" spans="9:10" x14ac:dyDescent="0.25">
      <c r="I18528" s="199"/>
      <c r="J18528" s="199"/>
    </row>
    <row r="18529" spans="9:10" x14ac:dyDescent="0.25">
      <c r="I18529" s="199"/>
      <c r="J18529" s="199"/>
    </row>
    <row r="18530" spans="9:10" x14ac:dyDescent="0.25">
      <c r="I18530" s="199"/>
      <c r="J18530" s="199"/>
    </row>
    <row r="18531" spans="9:10" x14ac:dyDescent="0.25">
      <c r="I18531" s="199"/>
      <c r="J18531" s="199"/>
    </row>
    <row r="18532" spans="9:10" x14ac:dyDescent="0.25">
      <c r="I18532" s="199"/>
      <c r="J18532" s="199"/>
    </row>
    <row r="18533" spans="9:10" x14ac:dyDescent="0.25">
      <c r="I18533" s="199"/>
      <c r="J18533" s="199"/>
    </row>
    <row r="18534" spans="9:10" x14ac:dyDescent="0.25">
      <c r="I18534" s="199"/>
      <c r="J18534" s="199"/>
    </row>
    <row r="18535" spans="9:10" x14ac:dyDescent="0.25">
      <c r="I18535" s="199"/>
      <c r="J18535" s="199"/>
    </row>
    <row r="18536" spans="9:10" x14ac:dyDescent="0.25">
      <c r="I18536" s="199"/>
      <c r="J18536" s="199"/>
    </row>
    <row r="18537" spans="9:10" x14ac:dyDescent="0.25">
      <c r="I18537" s="199"/>
      <c r="J18537" s="199"/>
    </row>
    <row r="18538" spans="9:10" x14ac:dyDescent="0.25">
      <c r="I18538" s="199"/>
      <c r="J18538" s="199"/>
    </row>
    <row r="18539" spans="9:10" x14ac:dyDescent="0.25">
      <c r="I18539" s="199"/>
      <c r="J18539" s="199"/>
    </row>
    <row r="18540" spans="9:10" x14ac:dyDescent="0.25">
      <c r="I18540" s="199"/>
      <c r="J18540" s="199"/>
    </row>
    <row r="18541" spans="9:10" x14ac:dyDescent="0.25">
      <c r="I18541" s="199"/>
      <c r="J18541" s="199"/>
    </row>
    <row r="18542" spans="9:10" x14ac:dyDescent="0.25">
      <c r="I18542" s="199"/>
      <c r="J18542" s="199"/>
    </row>
    <row r="18543" spans="9:10" x14ac:dyDescent="0.25">
      <c r="I18543" s="199"/>
      <c r="J18543" s="199"/>
    </row>
    <row r="18544" spans="9:10" x14ac:dyDescent="0.25">
      <c r="I18544" s="199"/>
      <c r="J18544" s="199"/>
    </row>
    <row r="18545" spans="9:10" x14ac:dyDescent="0.25">
      <c r="I18545" s="199"/>
      <c r="J18545" s="199"/>
    </row>
    <row r="18546" spans="9:10" x14ac:dyDescent="0.25">
      <c r="I18546" s="199"/>
      <c r="J18546" s="199"/>
    </row>
    <row r="18547" spans="9:10" x14ac:dyDescent="0.25">
      <c r="I18547" s="199"/>
      <c r="J18547" s="199"/>
    </row>
    <row r="18548" spans="9:10" x14ac:dyDescent="0.25">
      <c r="I18548" s="199"/>
      <c r="J18548" s="199"/>
    </row>
    <row r="18549" spans="9:10" x14ac:dyDescent="0.25">
      <c r="I18549" s="199"/>
      <c r="J18549" s="199"/>
    </row>
    <row r="18550" spans="9:10" x14ac:dyDescent="0.25">
      <c r="I18550" s="199"/>
      <c r="J18550" s="199"/>
    </row>
    <row r="18551" spans="9:10" x14ac:dyDescent="0.25">
      <c r="I18551" s="199"/>
      <c r="J18551" s="199"/>
    </row>
    <row r="18552" spans="9:10" x14ac:dyDescent="0.25">
      <c r="I18552" s="199"/>
      <c r="J18552" s="199"/>
    </row>
    <row r="18553" spans="9:10" x14ac:dyDescent="0.25">
      <c r="I18553" s="199"/>
      <c r="J18553" s="199"/>
    </row>
    <row r="18554" spans="9:10" x14ac:dyDescent="0.25">
      <c r="I18554" s="199"/>
      <c r="J18554" s="199"/>
    </row>
    <row r="18555" spans="9:10" x14ac:dyDescent="0.25">
      <c r="I18555" s="199"/>
      <c r="J18555" s="199"/>
    </row>
    <row r="18556" spans="9:10" x14ac:dyDescent="0.25">
      <c r="I18556" s="199"/>
      <c r="J18556" s="199"/>
    </row>
    <row r="18557" spans="9:10" x14ac:dyDescent="0.25">
      <c r="I18557" s="199"/>
      <c r="J18557" s="199"/>
    </row>
    <row r="18558" spans="9:10" x14ac:dyDescent="0.25">
      <c r="I18558" s="199"/>
      <c r="J18558" s="199"/>
    </row>
    <row r="18559" spans="9:10" x14ac:dyDescent="0.25">
      <c r="I18559" s="199"/>
      <c r="J18559" s="199"/>
    </row>
    <row r="18560" spans="9:10" x14ac:dyDescent="0.25">
      <c r="I18560" s="199"/>
      <c r="J18560" s="199"/>
    </row>
    <row r="18561" spans="9:10" x14ac:dyDescent="0.25">
      <c r="I18561" s="199"/>
      <c r="J18561" s="199"/>
    </row>
    <row r="18562" spans="9:10" x14ac:dyDescent="0.25">
      <c r="I18562" s="199"/>
      <c r="J18562" s="199"/>
    </row>
    <row r="18563" spans="9:10" x14ac:dyDescent="0.25">
      <c r="I18563" s="199"/>
      <c r="J18563" s="199"/>
    </row>
    <row r="18564" spans="9:10" x14ac:dyDescent="0.25">
      <c r="I18564" s="199"/>
      <c r="J18564" s="199"/>
    </row>
    <row r="18565" spans="9:10" x14ac:dyDescent="0.25">
      <c r="I18565" s="199"/>
      <c r="J18565" s="199"/>
    </row>
    <row r="18566" spans="9:10" x14ac:dyDescent="0.25">
      <c r="I18566" s="199"/>
      <c r="J18566" s="199"/>
    </row>
    <row r="18567" spans="9:10" x14ac:dyDescent="0.25">
      <c r="I18567" s="199"/>
      <c r="J18567" s="199"/>
    </row>
    <row r="18568" spans="9:10" x14ac:dyDescent="0.25">
      <c r="I18568" s="199"/>
      <c r="J18568" s="199"/>
    </row>
    <row r="18569" spans="9:10" x14ac:dyDescent="0.25">
      <c r="I18569" s="199"/>
      <c r="J18569" s="199"/>
    </row>
    <row r="18570" spans="9:10" x14ac:dyDescent="0.25">
      <c r="I18570" s="199"/>
      <c r="J18570" s="199"/>
    </row>
    <row r="18571" spans="9:10" x14ac:dyDescent="0.25">
      <c r="I18571" s="199"/>
      <c r="J18571" s="199"/>
    </row>
    <row r="18572" spans="9:10" x14ac:dyDescent="0.25">
      <c r="I18572" s="199"/>
      <c r="J18572" s="199"/>
    </row>
    <row r="18573" spans="9:10" x14ac:dyDescent="0.25">
      <c r="I18573" s="199"/>
      <c r="J18573" s="199"/>
    </row>
    <row r="18574" spans="9:10" x14ac:dyDescent="0.25">
      <c r="I18574" s="199"/>
      <c r="J18574" s="199"/>
    </row>
    <row r="18575" spans="9:10" x14ac:dyDescent="0.25">
      <c r="I18575" s="199"/>
      <c r="J18575" s="199"/>
    </row>
    <row r="18576" spans="9:10" x14ac:dyDescent="0.25">
      <c r="I18576" s="199"/>
      <c r="J18576" s="199"/>
    </row>
    <row r="18577" spans="9:10" x14ac:dyDescent="0.25">
      <c r="I18577" s="199"/>
      <c r="J18577" s="199"/>
    </row>
    <row r="18578" spans="9:10" x14ac:dyDescent="0.25">
      <c r="I18578" s="199"/>
      <c r="J18578" s="199"/>
    </row>
    <row r="18579" spans="9:10" x14ac:dyDescent="0.25">
      <c r="I18579" s="199"/>
      <c r="J18579" s="199"/>
    </row>
    <row r="18580" spans="9:10" x14ac:dyDescent="0.25">
      <c r="I18580" s="199"/>
      <c r="J18580" s="199"/>
    </row>
    <row r="18581" spans="9:10" x14ac:dyDescent="0.25">
      <c r="I18581" s="199"/>
      <c r="J18581" s="199"/>
    </row>
    <row r="18582" spans="9:10" x14ac:dyDescent="0.25">
      <c r="I18582" s="199"/>
      <c r="J18582" s="199"/>
    </row>
    <row r="18583" spans="9:10" x14ac:dyDescent="0.25">
      <c r="I18583" s="199"/>
      <c r="J18583" s="199"/>
    </row>
    <row r="18584" spans="9:10" x14ac:dyDescent="0.25">
      <c r="I18584" s="199"/>
      <c r="J18584" s="199"/>
    </row>
    <row r="18585" spans="9:10" x14ac:dyDescent="0.25">
      <c r="I18585" s="199"/>
      <c r="J18585" s="199"/>
    </row>
    <row r="18586" spans="9:10" x14ac:dyDescent="0.25">
      <c r="I18586" s="199"/>
      <c r="J18586" s="199"/>
    </row>
    <row r="18587" spans="9:10" x14ac:dyDescent="0.25">
      <c r="I18587" s="199"/>
      <c r="J18587" s="199"/>
    </row>
    <row r="18588" spans="9:10" x14ac:dyDescent="0.25">
      <c r="I18588" s="199"/>
      <c r="J18588" s="199"/>
    </row>
    <row r="18589" spans="9:10" x14ac:dyDescent="0.25">
      <c r="I18589" s="199"/>
      <c r="J18589" s="199"/>
    </row>
    <row r="18590" spans="9:10" x14ac:dyDescent="0.25">
      <c r="I18590" s="199"/>
      <c r="J18590" s="199"/>
    </row>
    <row r="18591" spans="9:10" x14ac:dyDescent="0.25">
      <c r="I18591" s="199"/>
      <c r="J18591" s="199"/>
    </row>
    <row r="18592" spans="9:10" x14ac:dyDescent="0.25">
      <c r="I18592" s="199"/>
      <c r="J18592" s="199"/>
    </row>
    <row r="18593" spans="9:10" x14ac:dyDescent="0.25">
      <c r="I18593" s="199"/>
      <c r="J18593" s="199"/>
    </row>
    <row r="18594" spans="9:10" x14ac:dyDescent="0.25">
      <c r="I18594" s="199"/>
      <c r="J18594" s="199"/>
    </row>
    <row r="18595" spans="9:10" x14ac:dyDescent="0.25">
      <c r="I18595" s="199"/>
      <c r="J18595" s="199"/>
    </row>
    <row r="18596" spans="9:10" x14ac:dyDescent="0.25">
      <c r="I18596" s="199"/>
      <c r="J18596" s="199"/>
    </row>
    <row r="18597" spans="9:10" x14ac:dyDescent="0.25">
      <c r="I18597" s="199"/>
      <c r="J18597" s="199"/>
    </row>
    <row r="18598" spans="9:10" x14ac:dyDescent="0.25">
      <c r="I18598" s="199"/>
      <c r="J18598" s="199"/>
    </row>
    <row r="18599" spans="9:10" x14ac:dyDescent="0.25">
      <c r="I18599" s="199"/>
      <c r="J18599" s="199"/>
    </row>
    <row r="18600" spans="9:10" x14ac:dyDescent="0.25">
      <c r="I18600" s="199"/>
      <c r="J18600" s="199"/>
    </row>
    <row r="18601" spans="9:10" x14ac:dyDescent="0.25">
      <c r="I18601" s="199"/>
      <c r="J18601" s="199"/>
    </row>
    <row r="18602" spans="9:10" x14ac:dyDescent="0.25">
      <c r="I18602" s="199"/>
      <c r="J18602" s="199"/>
    </row>
    <row r="18603" spans="9:10" x14ac:dyDescent="0.25">
      <c r="I18603" s="199"/>
      <c r="J18603" s="199"/>
    </row>
    <row r="18604" spans="9:10" x14ac:dyDescent="0.25">
      <c r="I18604" s="199"/>
      <c r="J18604" s="199"/>
    </row>
    <row r="18605" spans="9:10" x14ac:dyDescent="0.25">
      <c r="I18605" s="199"/>
      <c r="J18605" s="199"/>
    </row>
    <row r="18606" spans="9:10" x14ac:dyDescent="0.25">
      <c r="I18606" s="199"/>
      <c r="J18606" s="199"/>
    </row>
    <row r="18607" spans="9:10" x14ac:dyDescent="0.25">
      <c r="I18607" s="199"/>
      <c r="J18607" s="199"/>
    </row>
    <row r="18608" spans="9:10" x14ac:dyDescent="0.25">
      <c r="I18608" s="199"/>
      <c r="J18608" s="199"/>
    </row>
    <row r="18609" spans="9:10" x14ac:dyDescent="0.25">
      <c r="I18609" s="199"/>
      <c r="J18609" s="199"/>
    </row>
    <row r="18610" spans="9:10" x14ac:dyDescent="0.25">
      <c r="I18610" s="199"/>
      <c r="J18610" s="199"/>
    </row>
    <row r="18611" spans="9:10" x14ac:dyDescent="0.25">
      <c r="I18611" s="199"/>
      <c r="J18611" s="199"/>
    </row>
    <row r="18612" spans="9:10" x14ac:dyDescent="0.25">
      <c r="I18612" s="199"/>
      <c r="J18612" s="199"/>
    </row>
    <row r="18613" spans="9:10" x14ac:dyDescent="0.25">
      <c r="I18613" s="199"/>
      <c r="J18613" s="199"/>
    </row>
    <row r="18614" spans="9:10" x14ac:dyDescent="0.25">
      <c r="I18614" s="199"/>
      <c r="J18614" s="199"/>
    </row>
    <row r="18615" spans="9:10" x14ac:dyDescent="0.25">
      <c r="I18615" s="199"/>
      <c r="J18615" s="199"/>
    </row>
    <row r="18616" spans="9:10" x14ac:dyDescent="0.25">
      <c r="I18616" s="199"/>
      <c r="J18616" s="199"/>
    </row>
    <row r="18617" spans="9:10" x14ac:dyDescent="0.25">
      <c r="I18617" s="199"/>
      <c r="J18617" s="199"/>
    </row>
    <row r="18618" spans="9:10" x14ac:dyDescent="0.25">
      <c r="I18618" s="199"/>
      <c r="J18618" s="199"/>
    </row>
    <row r="18619" spans="9:10" x14ac:dyDescent="0.25">
      <c r="I18619" s="199"/>
      <c r="J18619" s="199"/>
    </row>
    <row r="18620" spans="9:10" x14ac:dyDescent="0.25">
      <c r="I18620" s="199"/>
      <c r="J18620" s="199"/>
    </row>
    <row r="18621" spans="9:10" x14ac:dyDescent="0.25">
      <c r="I18621" s="199"/>
      <c r="J18621" s="199"/>
    </row>
    <row r="18622" spans="9:10" x14ac:dyDescent="0.25">
      <c r="I18622" s="199"/>
      <c r="J18622" s="199"/>
    </row>
    <row r="18623" spans="9:10" x14ac:dyDescent="0.25">
      <c r="I18623" s="199"/>
      <c r="J18623" s="199"/>
    </row>
    <row r="18624" spans="9:10" x14ac:dyDescent="0.25">
      <c r="I18624" s="199"/>
      <c r="J18624" s="199"/>
    </row>
    <row r="18625" spans="9:10" x14ac:dyDescent="0.25">
      <c r="I18625" s="199"/>
      <c r="J18625" s="199"/>
    </row>
    <row r="18626" spans="9:10" x14ac:dyDescent="0.25">
      <c r="I18626" s="199"/>
      <c r="J18626" s="199"/>
    </row>
    <row r="18627" spans="9:10" x14ac:dyDescent="0.25">
      <c r="I18627" s="199"/>
      <c r="J18627" s="199"/>
    </row>
    <row r="18628" spans="9:10" x14ac:dyDescent="0.25">
      <c r="I18628" s="199"/>
      <c r="J18628" s="199"/>
    </row>
    <row r="18629" spans="9:10" x14ac:dyDescent="0.25">
      <c r="I18629" s="199"/>
      <c r="J18629" s="199"/>
    </row>
    <row r="18630" spans="9:10" x14ac:dyDescent="0.25">
      <c r="I18630" s="199"/>
      <c r="J18630" s="199"/>
    </row>
    <row r="18631" spans="9:10" x14ac:dyDescent="0.25">
      <c r="I18631" s="199"/>
      <c r="J18631" s="199"/>
    </row>
    <row r="18632" spans="9:10" x14ac:dyDescent="0.25">
      <c r="I18632" s="199"/>
      <c r="J18632" s="199"/>
    </row>
    <row r="18633" spans="9:10" x14ac:dyDescent="0.25">
      <c r="I18633" s="199"/>
      <c r="J18633" s="199"/>
    </row>
    <row r="18634" spans="9:10" x14ac:dyDescent="0.25">
      <c r="I18634" s="199"/>
      <c r="J18634" s="199"/>
    </row>
    <row r="18635" spans="9:10" x14ac:dyDescent="0.25">
      <c r="I18635" s="199"/>
      <c r="J18635" s="199"/>
    </row>
    <row r="18636" spans="9:10" x14ac:dyDescent="0.25">
      <c r="I18636" s="199"/>
      <c r="J18636" s="199"/>
    </row>
    <row r="18637" spans="9:10" x14ac:dyDescent="0.25">
      <c r="I18637" s="199"/>
      <c r="J18637" s="199"/>
    </row>
    <row r="18638" spans="9:10" x14ac:dyDescent="0.25">
      <c r="I18638" s="199"/>
      <c r="J18638" s="199"/>
    </row>
    <row r="18639" spans="9:10" x14ac:dyDescent="0.25">
      <c r="I18639" s="199"/>
      <c r="J18639" s="199"/>
    </row>
    <row r="18640" spans="9:10" x14ac:dyDescent="0.25">
      <c r="I18640" s="199"/>
      <c r="J18640" s="199"/>
    </row>
    <row r="18641" spans="9:10" x14ac:dyDescent="0.25">
      <c r="I18641" s="199"/>
      <c r="J18641" s="199"/>
    </row>
    <row r="18642" spans="9:10" x14ac:dyDescent="0.25">
      <c r="I18642" s="199"/>
      <c r="J18642" s="199"/>
    </row>
    <row r="18643" spans="9:10" x14ac:dyDescent="0.25">
      <c r="I18643" s="199"/>
      <c r="J18643" s="199"/>
    </row>
    <row r="18644" spans="9:10" x14ac:dyDescent="0.25">
      <c r="I18644" s="199"/>
      <c r="J18644" s="199"/>
    </row>
    <row r="18645" spans="9:10" x14ac:dyDescent="0.25">
      <c r="I18645" s="199"/>
      <c r="J18645" s="199"/>
    </row>
    <row r="18646" spans="9:10" x14ac:dyDescent="0.25">
      <c r="I18646" s="199"/>
      <c r="J18646" s="199"/>
    </row>
    <row r="18647" spans="9:10" x14ac:dyDescent="0.25">
      <c r="I18647" s="199"/>
      <c r="J18647" s="199"/>
    </row>
    <row r="18648" spans="9:10" x14ac:dyDescent="0.25">
      <c r="I18648" s="199"/>
      <c r="J18648" s="199"/>
    </row>
    <row r="18649" spans="9:10" x14ac:dyDescent="0.25">
      <c r="I18649" s="199"/>
      <c r="J18649" s="199"/>
    </row>
    <row r="18650" spans="9:10" x14ac:dyDescent="0.25">
      <c r="I18650" s="199"/>
      <c r="J18650" s="199"/>
    </row>
    <row r="18651" spans="9:10" x14ac:dyDescent="0.25">
      <c r="I18651" s="199"/>
      <c r="J18651" s="199"/>
    </row>
    <row r="18652" spans="9:10" x14ac:dyDescent="0.25">
      <c r="I18652" s="199"/>
      <c r="J18652" s="199"/>
    </row>
    <row r="18653" spans="9:10" x14ac:dyDescent="0.25">
      <c r="I18653" s="199"/>
      <c r="J18653" s="199"/>
    </row>
    <row r="18654" spans="9:10" x14ac:dyDescent="0.25">
      <c r="I18654" s="199"/>
      <c r="J18654" s="199"/>
    </row>
    <row r="18655" spans="9:10" x14ac:dyDescent="0.25">
      <c r="I18655" s="199"/>
      <c r="J18655" s="199"/>
    </row>
    <row r="18656" spans="9:10" x14ac:dyDescent="0.25">
      <c r="I18656" s="199"/>
      <c r="J18656" s="199"/>
    </row>
    <row r="18657" spans="9:10" x14ac:dyDescent="0.25">
      <c r="I18657" s="199"/>
      <c r="J18657" s="199"/>
    </row>
    <row r="18658" spans="9:10" x14ac:dyDescent="0.25">
      <c r="I18658" s="199"/>
      <c r="J18658" s="199"/>
    </row>
    <row r="18659" spans="9:10" x14ac:dyDescent="0.25">
      <c r="I18659" s="199"/>
      <c r="J18659" s="199"/>
    </row>
    <row r="18660" spans="9:10" x14ac:dyDescent="0.25">
      <c r="I18660" s="199"/>
      <c r="J18660" s="199"/>
    </row>
    <row r="18661" spans="9:10" x14ac:dyDescent="0.25">
      <c r="I18661" s="199"/>
      <c r="J18661" s="199"/>
    </row>
    <row r="18662" spans="9:10" x14ac:dyDescent="0.25">
      <c r="I18662" s="199"/>
      <c r="J18662" s="199"/>
    </row>
    <row r="18663" spans="9:10" x14ac:dyDescent="0.25">
      <c r="I18663" s="199"/>
      <c r="J18663" s="199"/>
    </row>
    <row r="18664" spans="9:10" x14ac:dyDescent="0.25">
      <c r="I18664" s="199"/>
      <c r="J18664" s="199"/>
    </row>
    <row r="18665" spans="9:10" x14ac:dyDescent="0.25">
      <c r="I18665" s="199"/>
      <c r="J18665" s="199"/>
    </row>
    <row r="18666" spans="9:10" x14ac:dyDescent="0.25">
      <c r="I18666" s="199"/>
      <c r="J18666" s="199"/>
    </row>
    <row r="18667" spans="9:10" x14ac:dyDescent="0.25">
      <c r="I18667" s="199"/>
      <c r="J18667" s="199"/>
    </row>
    <row r="18668" spans="9:10" x14ac:dyDescent="0.25">
      <c r="I18668" s="199"/>
      <c r="J18668" s="199"/>
    </row>
    <row r="18669" spans="9:10" x14ac:dyDescent="0.25">
      <c r="I18669" s="199"/>
      <c r="J18669" s="199"/>
    </row>
    <row r="18670" spans="9:10" x14ac:dyDescent="0.25">
      <c r="I18670" s="199"/>
      <c r="J18670" s="199"/>
    </row>
    <row r="18671" spans="9:10" x14ac:dyDescent="0.25">
      <c r="I18671" s="199"/>
      <c r="J18671" s="199"/>
    </row>
    <row r="18672" spans="9:10" x14ac:dyDescent="0.25">
      <c r="I18672" s="199"/>
      <c r="J18672" s="199"/>
    </row>
    <row r="18673" spans="9:10" x14ac:dyDescent="0.25">
      <c r="I18673" s="199"/>
      <c r="J18673" s="199"/>
    </row>
    <row r="18674" spans="9:10" x14ac:dyDescent="0.25">
      <c r="I18674" s="199"/>
      <c r="J18674" s="199"/>
    </row>
    <row r="18675" spans="9:10" x14ac:dyDescent="0.25">
      <c r="I18675" s="199"/>
      <c r="J18675" s="199"/>
    </row>
    <row r="18676" spans="9:10" x14ac:dyDescent="0.25">
      <c r="I18676" s="199"/>
      <c r="J18676" s="199"/>
    </row>
    <row r="18677" spans="9:10" x14ac:dyDescent="0.25">
      <c r="I18677" s="199"/>
      <c r="J18677" s="199"/>
    </row>
    <row r="18678" spans="9:10" x14ac:dyDescent="0.25">
      <c r="I18678" s="199"/>
      <c r="J18678" s="199"/>
    </row>
    <row r="18679" spans="9:10" x14ac:dyDescent="0.25">
      <c r="I18679" s="199"/>
      <c r="J18679" s="199"/>
    </row>
    <row r="18680" spans="9:10" x14ac:dyDescent="0.25">
      <c r="I18680" s="199"/>
      <c r="J18680" s="199"/>
    </row>
    <row r="18681" spans="9:10" x14ac:dyDescent="0.25">
      <c r="I18681" s="199"/>
      <c r="J18681" s="199"/>
    </row>
    <row r="18682" spans="9:10" x14ac:dyDescent="0.25">
      <c r="I18682" s="199"/>
      <c r="J18682" s="199"/>
    </row>
    <row r="18683" spans="9:10" x14ac:dyDescent="0.25">
      <c r="I18683" s="199"/>
      <c r="J18683" s="199"/>
    </row>
    <row r="18684" spans="9:10" x14ac:dyDescent="0.25">
      <c r="I18684" s="199"/>
      <c r="J18684" s="199"/>
    </row>
    <row r="18685" spans="9:10" x14ac:dyDescent="0.25">
      <c r="I18685" s="199"/>
      <c r="J18685" s="199"/>
    </row>
    <row r="18686" spans="9:10" x14ac:dyDescent="0.25">
      <c r="I18686" s="199"/>
      <c r="J18686" s="199"/>
    </row>
    <row r="18687" spans="9:10" x14ac:dyDescent="0.25">
      <c r="I18687" s="199"/>
      <c r="J18687" s="199"/>
    </row>
    <row r="18688" spans="9:10" x14ac:dyDescent="0.25">
      <c r="I18688" s="199"/>
      <c r="J18688" s="199"/>
    </row>
    <row r="18689" spans="9:10" x14ac:dyDescent="0.25">
      <c r="I18689" s="199"/>
      <c r="J18689" s="199"/>
    </row>
    <row r="18690" spans="9:10" x14ac:dyDescent="0.25">
      <c r="I18690" s="199"/>
      <c r="J18690" s="199"/>
    </row>
    <row r="18691" spans="9:10" x14ac:dyDescent="0.25">
      <c r="I18691" s="199"/>
      <c r="J18691" s="199"/>
    </row>
    <row r="18692" spans="9:10" x14ac:dyDescent="0.25">
      <c r="I18692" s="199"/>
      <c r="J18692" s="199"/>
    </row>
    <row r="18693" spans="9:10" x14ac:dyDescent="0.25">
      <c r="I18693" s="199"/>
      <c r="J18693" s="199"/>
    </row>
    <row r="18694" spans="9:10" x14ac:dyDescent="0.25">
      <c r="I18694" s="199"/>
      <c r="J18694" s="199"/>
    </row>
    <row r="18695" spans="9:10" x14ac:dyDescent="0.25">
      <c r="I18695" s="199"/>
      <c r="J18695" s="199"/>
    </row>
    <row r="18696" spans="9:10" x14ac:dyDescent="0.25">
      <c r="I18696" s="199"/>
      <c r="J18696" s="199"/>
    </row>
    <row r="18697" spans="9:10" x14ac:dyDescent="0.25">
      <c r="I18697" s="199"/>
      <c r="J18697" s="199"/>
    </row>
    <row r="18698" spans="9:10" x14ac:dyDescent="0.25">
      <c r="I18698" s="199"/>
      <c r="J18698" s="199"/>
    </row>
    <row r="18699" spans="9:10" x14ac:dyDescent="0.25">
      <c r="I18699" s="199"/>
      <c r="J18699" s="199"/>
    </row>
    <row r="18700" spans="9:10" x14ac:dyDescent="0.25">
      <c r="I18700" s="199"/>
      <c r="J18700" s="199"/>
    </row>
    <row r="18701" spans="9:10" x14ac:dyDescent="0.25">
      <c r="I18701" s="199"/>
      <c r="J18701" s="199"/>
    </row>
    <row r="18702" spans="9:10" x14ac:dyDescent="0.25">
      <c r="I18702" s="199"/>
      <c r="J18702" s="199"/>
    </row>
    <row r="18703" spans="9:10" x14ac:dyDescent="0.25">
      <c r="I18703" s="199"/>
      <c r="J18703" s="199"/>
    </row>
    <row r="18704" spans="9:10" x14ac:dyDescent="0.25">
      <c r="I18704" s="199"/>
      <c r="J18704" s="199"/>
    </row>
    <row r="18705" spans="9:10" x14ac:dyDescent="0.25">
      <c r="I18705" s="199"/>
      <c r="J18705" s="199"/>
    </row>
    <row r="18706" spans="9:10" x14ac:dyDescent="0.25">
      <c r="I18706" s="199"/>
      <c r="J18706" s="199"/>
    </row>
    <row r="18707" spans="9:10" x14ac:dyDescent="0.25">
      <c r="I18707" s="199"/>
      <c r="J18707" s="199"/>
    </row>
    <row r="18708" spans="9:10" x14ac:dyDescent="0.25">
      <c r="I18708" s="199"/>
      <c r="J18708" s="199"/>
    </row>
    <row r="18709" spans="9:10" x14ac:dyDescent="0.25">
      <c r="I18709" s="199"/>
      <c r="J18709" s="199"/>
    </row>
    <row r="18710" spans="9:10" x14ac:dyDescent="0.25">
      <c r="I18710" s="199"/>
      <c r="J18710" s="199"/>
    </row>
    <row r="18711" spans="9:10" x14ac:dyDescent="0.25">
      <c r="I18711" s="199"/>
      <c r="J18711" s="199"/>
    </row>
    <row r="18712" spans="9:10" x14ac:dyDescent="0.25">
      <c r="I18712" s="199"/>
      <c r="J18712" s="199"/>
    </row>
    <row r="18713" spans="9:10" x14ac:dyDescent="0.25">
      <c r="I18713" s="199"/>
      <c r="J18713" s="199"/>
    </row>
    <row r="18714" spans="9:10" x14ac:dyDescent="0.25">
      <c r="I18714" s="199"/>
      <c r="J18714" s="199"/>
    </row>
    <row r="18715" spans="9:10" x14ac:dyDescent="0.25">
      <c r="I18715" s="199"/>
      <c r="J18715" s="199"/>
    </row>
    <row r="18716" spans="9:10" x14ac:dyDescent="0.25">
      <c r="I18716" s="199"/>
      <c r="J18716" s="199"/>
    </row>
    <row r="18717" spans="9:10" x14ac:dyDescent="0.25">
      <c r="I18717" s="199"/>
      <c r="J18717" s="199"/>
    </row>
    <row r="18718" spans="9:10" x14ac:dyDescent="0.25">
      <c r="I18718" s="199"/>
      <c r="J18718" s="199"/>
    </row>
    <row r="18719" spans="9:10" x14ac:dyDescent="0.25">
      <c r="I18719" s="199"/>
      <c r="J18719" s="199"/>
    </row>
    <row r="18720" spans="9:10" x14ac:dyDescent="0.25">
      <c r="I18720" s="199"/>
      <c r="J18720" s="199"/>
    </row>
    <row r="18721" spans="9:10" x14ac:dyDescent="0.25">
      <c r="I18721" s="199"/>
      <c r="J18721" s="199"/>
    </row>
    <row r="18722" spans="9:10" x14ac:dyDescent="0.25">
      <c r="I18722" s="199"/>
      <c r="J18722" s="199"/>
    </row>
    <row r="18723" spans="9:10" x14ac:dyDescent="0.25">
      <c r="I18723" s="199"/>
      <c r="J18723" s="199"/>
    </row>
    <row r="18724" spans="9:10" x14ac:dyDescent="0.25">
      <c r="I18724" s="199"/>
      <c r="J18724" s="199"/>
    </row>
    <row r="18725" spans="9:10" x14ac:dyDescent="0.25">
      <c r="I18725" s="199"/>
      <c r="J18725" s="199"/>
    </row>
    <row r="18726" spans="9:10" x14ac:dyDescent="0.25">
      <c r="I18726" s="199"/>
      <c r="J18726" s="199"/>
    </row>
    <row r="18727" spans="9:10" x14ac:dyDescent="0.25">
      <c r="I18727" s="199"/>
      <c r="J18727" s="199"/>
    </row>
    <row r="18728" spans="9:10" x14ac:dyDescent="0.25">
      <c r="I18728" s="199"/>
      <c r="J18728" s="199"/>
    </row>
    <row r="18729" spans="9:10" x14ac:dyDescent="0.25">
      <c r="I18729" s="199"/>
      <c r="J18729" s="199"/>
    </row>
    <row r="18730" spans="9:10" x14ac:dyDescent="0.25">
      <c r="I18730" s="199"/>
      <c r="J18730" s="199"/>
    </row>
    <row r="18731" spans="9:10" x14ac:dyDescent="0.25">
      <c r="I18731" s="199"/>
      <c r="J18731" s="199"/>
    </row>
    <row r="18732" spans="9:10" x14ac:dyDescent="0.25">
      <c r="I18732" s="199"/>
      <c r="J18732" s="199"/>
    </row>
    <row r="18733" spans="9:10" x14ac:dyDescent="0.25">
      <c r="I18733" s="199"/>
      <c r="J18733" s="199"/>
    </row>
    <row r="18734" spans="9:10" x14ac:dyDescent="0.25">
      <c r="I18734" s="199"/>
      <c r="J18734" s="199"/>
    </row>
    <row r="18735" spans="9:10" x14ac:dyDescent="0.25">
      <c r="I18735" s="199"/>
      <c r="J18735" s="199"/>
    </row>
    <row r="18736" spans="9:10" x14ac:dyDescent="0.25">
      <c r="I18736" s="199"/>
      <c r="J18736" s="199"/>
    </row>
    <row r="18737" spans="9:10" x14ac:dyDescent="0.25">
      <c r="I18737" s="199"/>
      <c r="J18737" s="199"/>
    </row>
    <row r="18738" spans="9:10" x14ac:dyDescent="0.25">
      <c r="I18738" s="199"/>
      <c r="J18738" s="199"/>
    </row>
    <row r="18739" spans="9:10" x14ac:dyDescent="0.25">
      <c r="I18739" s="199"/>
      <c r="J18739" s="199"/>
    </row>
    <row r="18740" spans="9:10" x14ac:dyDescent="0.25">
      <c r="I18740" s="199"/>
      <c r="J18740" s="199"/>
    </row>
    <row r="18741" spans="9:10" x14ac:dyDescent="0.25">
      <c r="I18741" s="199"/>
      <c r="J18741" s="199"/>
    </row>
    <row r="18742" spans="9:10" x14ac:dyDescent="0.25">
      <c r="I18742" s="199"/>
      <c r="J18742" s="199"/>
    </row>
    <row r="18743" spans="9:10" x14ac:dyDescent="0.25">
      <c r="I18743" s="199"/>
      <c r="J18743" s="199"/>
    </row>
    <row r="18744" spans="9:10" x14ac:dyDescent="0.25">
      <c r="I18744" s="199"/>
      <c r="J18744" s="199"/>
    </row>
    <row r="18745" spans="9:10" x14ac:dyDescent="0.25">
      <c r="I18745" s="199"/>
      <c r="J18745" s="199"/>
    </row>
    <row r="18746" spans="9:10" x14ac:dyDescent="0.25">
      <c r="I18746" s="199"/>
      <c r="J18746" s="199"/>
    </row>
    <row r="18747" spans="9:10" x14ac:dyDescent="0.25">
      <c r="I18747" s="199"/>
      <c r="J18747" s="199"/>
    </row>
    <row r="18748" spans="9:10" x14ac:dyDescent="0.25">
      <c r="I18748" s="199"/>
      <c r="J18748" s="199"/>
    </row>
    <row r="18749" spans="9:10" x14ac:dyDescent="0.25">
      <c r="I18749" s="199"/>
      <c r="J18749" s="199"/>
    </row>
    <row r="18750" spans="9:10" x14ac:dyDescent="0.25">
      <c r="I18750" s="199"/>
      <c r="J18750" s="199"/>
    </row>
    <row r="18751" spans="9:10" x14ac:dyDescent="0.25">
      <c r="I18751" s="199"/>
      <c r="J18751" s="199"/>
    </row>
    <row r="18752" spans="9:10" x14ac:dyDescent="0.25">
      <c r="I18752" s="199"/>
      <c r="J18752" s="199"/>
    </row>
    <row r="18753" spans="9:10" x14ac:dyDescent="0.25">
      <c r="I18753" s="199"/>
      <c r="J18753" s="199"/>
    </row>
    <row r="18754" spans="9:10" x14ac:dyDescent="0.25">
      <c r="I18754" s="199"/>
      <c r="J18754" s="199"/>
    </row>
    <row r="18755" spans="9:10" x14ac:dyDescent="0.25">
      <c r="I18755" s="199"/>
      <c r="J18755" s="199"/>
    </row>
    <row r="18756" spans="9:10" x14ac:dyDescent="0.25">
      <c r="I18756" s="199"/>
      <c r="J18756" s="199"/>
    </row>
    <row r="18757" spans="9:10" x14ac:dyDescent="0.25">
      <c r="I18757" s="199"/>
      <c r="J18757" s="199"/>
    </row>
    <row r="18758" spans="9:10" x14ac:dyDescent="0.25">
      <c r="I18758" s="199"/>
      <c r="J18758" s="199"/>
    </row>
    <row r="18759" spans="9:10" x14ac:dyDescent="0.25">
      <c r="I18759" s="199"/>
      <c r="J18759" s="199"/>
    </row>
    <row r="18760" spans="9:10" x14ac:dyDescent="0.25">
      <c r="I18760" s="199"/>
      <c r="J18760" s="199"/>
    </row>
    <row r="18761" spans="9:10" x14ac:dyDescent="0.25">
      <c r="I18761" s="199"/>
      <c r="J18761" s="199"/>
    </row>
    <row r="18762" spans="9:10" x14ac:dyDescent="0.25">
      <c r="I18762" s="199"/>
      <c r="J18762" s="199"/>
    </row>
    <row r="18763" spans="9:10" x14ac:dyDescent="0.25">
      <c r="I18763" s="199"/>
      <c r="J18763" s="199"/>
    </row>
    <row r="18764" spans="9:10" x14ac:dyDescent="0.25">
      <c r="I18764" s="199"/>
      <c r="J18764" s="199"/>
    </row>
    <row r="18765" spans="9:10" x14ac:dyDescent="0.25">
      <c r="I18765" s="199"/>
      <c r="J18765" s="199"/>
    </row>
    <row r="18766" spans="9:10" x14ac:dyDescent="0.25">
      <c r="I18766" s="199"/>
      <c r="J18766" s="199"/>
    </row>
    <row r="18767" spans="9:10" x14ac:dyDescent="0.25">
      <c r="I18767" s="199"/>
      <c r="J18767" s="199"/>
    </row>
    <row r="18768" spans="9:10" x14ac:dyDescent="0.25">
      <c r="I18768" s="199"/>
      <c r="J18768" s="199"/>
    </row>
    <row r="18769" spans="9:10" x14ac:dyDescent="0.25">
      <c r="I18769" s="199"/>
      <c r="J18769" s="199"/>
    </row>
    <row r="18770" spans="9:10" x14ac:dyDescent="0.25">
      <c r="I18770" s="199"/>
      <c r="J18770" s="199"/>
    </row>
    <row r="18771" spans="9:10" x14ac:dyDescent="0.25">
      <c r="I18771" s="199"/>
      <c r="J18771" s="199"/>
    </row>
    <row r="18772" spans="9:10" x14ac:dyDescent="0.25">
      <c r="I18772" s="199"/>
      <c r="J18772" s="199"/>
    </row>
    <row r="18773" spans="9:10" x14ac:dyDescent="0.25">
      <c r="I18773" s="199"/>
      <c r="J18773" s="199"/>
    </row>
    <row r="18774" spans="9:10" x14ac:dyDescent="0.25">
      <c r="I18774" s="199"/>
      <c r="J18774" s="199"/>
    </row>
    <row r="18775" spans="9:10" x14ac:dyDescent="0.25">
      <c r="I18775" s="199"/>
      <c r="J18775" s="199"/>
    </row>
    <row r="18776" spans="9:10" x14ac:dyDescent="0.25">
      <c r="I18776" s="199"/>
      <c r="J18776" s="199"/>
    </row>
    <row r="18777" spans="9:10" x14ac:dyDescent="0.25">
      <c r="I18777" s="199"/>
      <c r="J18777" s="199"/>
    </row>
    <row r="18778" spans="9:10" x14ac:dyDescent="0.25">
      <c r="I18778" s="199"/>
      <c r="J18778" s="199"/>
    </row>
    <row r="18779" spans="9:10" x14ac:dyDescent="0.25">
      <c r="I18779" s="199"/>
      <c r="J18779" s="199"/>
    </row>
    <row r="18780" spans="9:10" x14ac:dyDescent="0.25">
      <c r="I18780" s="199"/>
      <c r="J18780" s="199"/>
    </row>
    <row r="18781" spans="9:10" x14ac:dyDescent="0.25">
      <c r="I18781" s="199"/>
      <c r="J18781" s="199"/>
    </row>
    <row r="18782" spans="9:10" x14ac:dyDescent="0.25">
      <c r="I18782" s="199"/>
      <c r="J18782" s="199"/>
    </row>
    <row r="18783" spans="9:10" x14ac:dyDescent="0.25">
      <c r="I18783" s="199"/>
      <c r="J18783" s="199"/>
    </row>
    <row r="18784" spans="9:10" x14ac:dyDescent="0.25">
      <c r="I18784" s="199"/>
      <c r="J18784" s="199"/>
    </row>
    <row r="18785" spans="9:10" x14ac:dyDescent="0.25">
      <c r="I18785" s="199"/>
      <c r="J18785" s="199"/>
    </row>
    <row r="18786" spans="9:10" x14ac:dyDescent="0.25">
      <c r="I18786" s="199"/>
      <c r="J18786" s="199"/>
    </row>
    <row r="18787" spans="9:10" x14ac:dyDescent="0.25">
      <c r="I18787" s="199"/>
      <c r="J18787" s="199"/>
    </row>
    <row r="18788" spans="9:10" x14ac:dyDescent="0.25">
      <c r="I18788" s="199"/>
      <c r="J18788" s="199"/>
    </row>
    <row r="18789" spans="9:10" x14ac:dyDescent="0.25">
      <c r="I18789" s="199"/>
      <c r="J18789" s="199"/>
    </row>
    <row r="18790" spans="9:10" x14ac:dyDescent="0.25">
      <c r="I18790" s="199"/>
      <c r="J18790" s="199"/>
    </row>
    <row r="18791" spans="9:10" x14ac:dyDescent="0.25">
      <c r="I18791" s="199"/>
      <c r="J18791" s="199"/>
    </row>
    <row r="18792" spans="9:10" x14ac:dyDescent="0.25">
      <c r="I18792" s="199"/>
      <c r="J18792" s="199"/>
    </row>
    <row r="18793" spans="9:10" x14ac:dyDescent="0.25">
      <c r="I18793" s="199"/>
      <c r="J18793" s="199"/>
    </row>
    <row r="18794" spans="9:10" x14ac:dyDescent="0.25">
      <c r="I18794" s="199"/>
      <c r="J18794" s="199"/>
    </row>
    <row r="18795" spans="9:10" x14ac:dyDescent="0.25">
      <c r="I18795" s="199"/>
      <c r="J18795" s="199"/>
    </row>
    <row r="18796" spans="9:10" x14ac:dyDescent="0.25">
      <c r="I18796" s="199"/>
      <c r="J18796" s="199"/>
    </row>
    <row r="18797" spans="9:10" x14ac:dyDescent="0.25">
      <c r="I18797" s="199"/>
      <c r="J18797" s="199"/>
    </row>
    <row r="18798" spans="9:10" x14ac:dyDescent="0.25">
      <c r="I18798" s="199"/>
      <c r="J18798" s="199"/>
    </row>
    <row r="18799" spans="9:10" x14ac:dyDescent="0.25">
      <c r="I18799" s="199"/>
      <c r="J18799" s="199"/>
    </row>
    <row r="18800" spans="9:10" x14ac:dyDescent="0.25">
      <c r="I18800" s="199"/>
      <c r="J18800" s="199"/>
    </row>
    <row r="18801" spans="9:10" x14ac:dyDescent="0.25">
      <c r="I18801" s="199"/>
      <c r="J18801" s="199"/>
    </row>
    <row r="18802" spans="9:10" x14ac:dyDescent="0.25">
      <c r="I18802" s="199"/>
      <c r="J18802" s="199"/>
    </row>
    <row r="18803" spans="9:10" x14ac:dyDescent="0.25">
      <c r="I18803" s="199"/>
      <c r="J18803" s="199"/>
    </row>
    <row r="18804" spans="9:10" x14ac:dyDescent="0.25">
      <c r="I18804" s="199"/>
      <c r="J18804" s="199"/>
    </row>
    <row r="18805" spans="9:10" x14ac:dyDescent="0.25">
      <c r="I18805" s="199"/>
      <c r="J18805" s="199"/>
    </row>
    <row r="18806" spans="9:10" x14ac:dyDescent="0.25">
      <c r="I18806" s="199"/>
      <c r="J18806" s="199"/>
    </row>
    <row r="18807" spans="9:10" x14ac:dyDescent="0.25">
      <c r="I18807" s="199"/>
      <c r="J18807" s="199"/>
    </row>
    <row r="18808" spans="9:10" x14ac:dyDescent="0.25">
      <c r="I18808" s="199"/>
      <c r="J18808" s="199"/>
    </row>
    <row r="18809" spans="9:10" x14ac:dyDescent="0.25">
      <c r="I18809" s="199"/>
      <c r="J18809" s="199"/>
    </row>
    <row r="18810" spans="9:10" x14ac:dyDescent="0.25">
      <c r="I18810" s="199"/>
      <c r="J18810" s="199"/>
    </row>
    <row r="18811" spans="9:10" x14ac:dyDescent="0.25">
      <c r="I18811" s="199"/>
      <c r="J18811" s="199"/>
    </row>
    <row r="18812" spans="9:10" x14ac:dyDescent="0.25">
      <c r="I18812" s="199"/>
      <c r="J18812" s="199"/>
    </row>
    <row r="18813" spans="9:10" x14ac:dyDescent="0.25">
      <c r="I18813" s="199"/>
      <c r="J18813" s="199"/>
    </row>
    <row r="18814" spans="9:10" x14ac:dyDescent="0.25">
      <c r="I18814" s="199"/>
      <c r="J18814" s="199"/>
    </row>
    <row r="18815" spans="9:10" x14ac:dyDescent="0.25">
      <c r="I18815" s="199"/>
      <c r="J18815" s="199"/>
    </row>
    <row r="18816" spans="9:10" x14ac:dyDescent="0.25">
      <c r="I18816" s="199"/>
      <c r="J18816" s="199"/>
    </row>
    <row r="18817" spans="9:10" x14ac:dyDescent="0.25">
      <c r="I18817" s="199"/>
      <c r="J18817" s="199"/>
    </row>
    <row r="18818" spans="9:10" x14ac:dyDescent="0.25">
      <c r="I18818" s="199"/>
      <c r="J18818" s="199"/>
    </row>
    <row r="18819" spans="9:10" x14ac:dyDescent="0.25">
      <c r="I18819" s="199"/>
      <c r="J18819" s="199"/>
    </row>
    <row r="18820" spans="9:10" x14ac:dyDescent="0.25">
      <c r="I18820" s="199"/>
      <c r="J18820" s="199"/>
    </row>
    <row r="18821" spans="9:10" x14ac:dyDescent="0.25">
      <c r="I18821" s="199"/>
      <c r="J18821" s="199"/>
    </row>
    <row r="18822" spans="9:10" x14ac:dyDescent="0.25">
      <c r="I18822" s="199"/>
      <c r="J18822" s="199"/>
    </row>
    <row r="18823" spans="9:10" x14ac:dyDescent="0.25">
      <c r="I18823" s="199"/>
      <c r="J18823" s="199"/>
    </row>
    <row r="18824" spans="9:10" x14ac:dyDescent="0.25">
      <c r="I18824" s="199"/>
      <c r="J18824" s="199"/>
    </row>
    <row r="18825" spans="9:10" x14ac:dyDescent="0.25">
      <c r="I18825" s="199"/>
      <c r="J18825" s="199"/>
    </row>
    <row r="18826" spans="9:10" x14ac:dyDescent="0.25">
      <c r="I18826" s="199"/>
      <c r="J18826" s="199"/>
    </row>
    <row r="18827" spans="9:10" x14ac:dyDescent="0.25">
      <c r="I18827" s="199"/>
      <c r="J18827" s="199"/>
    </row>
    <row r="18828" spans="9:10" x14ac:dyDescent="0.25">
      <c r="I18828" s="199"/>
      <c r="J18828" s="199"/>
    </row>
    <row r="18829" spans="9:10" x14ac:dyDescent="0.25">
      <c r="I18829" s="199"/>
      <c r="J18829" s="199"/>
    </row>
    <row r="18830" spans="9:10" x14ac:dyDescent="0.25">
      <c r="I18830" s="199"/>
      <c r="J18830" s="199"/>
    </row>
    <row r="18831" spans="9:10" x14ac:dyDescent="0.25">
      <c r="I18831" s="199"/>
      <c r="J18831" s="199"/>
    </row>
    <row r="18832" spans="9:10" x14ac:dyDescent="0.25">
      <c r="I18832" s="199"/>
      <c r="J18832" s="199"/>
    </row>
    <row r="18833" spans="9:10" x14ac:dyDescent="0.25">
      <c r="I18833" s="199"/>
      <c r="J18833" s="199"/>
    </row>
    <row r="18834" spans="9:10" x14ac:dyDescent="0.25">
      <c r="I18834" s="199"/>
      <c r="J18834" s="199"/>
    </row>
    <row r="18835" spans="9:10" x14ac:dyDescent="0.25">
      <c r="I18835" s="199"/>
      <c r="J18835" s="199"/>
    </row>
    <row r="18836" spans="9:10" x14ac:dyDescent="0.25">
      <c r="I18836" s="199"/>
      <c r="J18836" s="199"/>
    </row>
    <row r="18837" spans="9:10" x14ac:dyDescent="0.25">
      <c r="I18837" s="199"/>
      <c r="J18837" s="199"/>
    </row>
    <row r="18838" spans="9:10" x14ac:dyDescent="0.25">
      <c r="I18838" s="199"/>
      <c r="J18838" s="199"/>
    </row>
    <row r="18839" spans="9:10" x14ac:dyDescent="0.25">
      <c r="I18839" s="199"/>
      <c r="J18839" s="199"/>
    </row>
    <row r="18840" spans="9:10" x14ac:dyDescent="0.25">
      <c r="I18840" s="199"/>
      <c r="J18840" s="199"/>
    </row>
    <row r="18841" spans="9:10" x14ac:dyDescent="0.25">
      <c r="I18841" s="199"/>
      <c r="J18841" s="199"/>
    </row>
    <row r="18842" spans="9:10" x14ac:dyDescent="0.25">
      <c r="I18842" s="199"/>
      <c r="J18842" s="199"/>
    </row>
    <row r="18843" spans="9:10" x14ac:dyDescent="0.25">
      <c r="I18843" s="199"/>
      <c r="J18843" s="199"/>
    </row>
    <row r="18844" spans="9:10" x14ac:dyDescent="0.25">
      <c r="I18844" s="199"/>
      <c r="J18844" s="199"/>
    </row>
    <row r="18845" spans="9:10" x14ac:dyDescent="0.25">
      <c r="I18845" s="199"/>
      <c r="J18845" s="199"/>
    </row>
    <row r="18846" spans="9:10" x14ac:dyDescent="0.25">
      <c r="I18846" s="199"/>
      <c r="J18846" s="199"/>
    </row>
    <row r="18847" spans="9:10" x14ac:dyDescent="0.25">
      <c r="I18847" s="199"/>
      <c r="J18847" s="199"/>
    </row>
    <row r="18848" spans="9:10" x14ac:dyDescent="0.25">
      <c r="I18848" s="199"/>
      <c r="J18848" s="199"/>
    </row>
    <row r="18849" spans="9:10" x14ac:dyDescent="0.25">
      <c r="I18849" s="199"/>
      <c r="J18849" s="199"/>
    </row>
    <row r="18850" spans="9:10" x14ac:dyDescent="0.25">
      <c r="I18850" s="199"/>
      <c r="J18850" s="199"/>
    </row>
    <row r="18851" spans="9:10" x14ac:dyDescent="0.25">
      <c r="I18851" s="199"/>
      <c r="J18851" s="199"/>
    </row>
    <row r="18852" spans="9:10" x14ac:dyDescent="0.25">
      <c r="I18852" s="199"/>
      <c r="J18852" s="199"/>
    </row>
    <row r="18853" spans="9:10" x14ac:dyDescent="0.25">
      <c r="I18853" s="199"/>
      <c r="J18853" s="199"/>
    </row>
    <row r="18854" spans="9:10" x14ac:dyDescent="0.25">
      <c r="I18854" s="199"/>
      <c r="J18854" s="199"/>
    </row>
    <row r="18855" spans="9:10" x14ac:dyDescent="0.25">
      <c r="I18855" s="199"/>
      <c r="J18855" s="199"/>
    </row>
    <row r="18856" spans="9:10" x14ac:dyDescent="0.25">
      <c r="I18856" s="199"/>
      <c r="J18856" s="199"/>
    </row>
    <row r="18857" spans="9:10" x14ac:dyDescent="0.25">
      <c r="I18857" s="199"/>
      <c r="J18857" s="199"/>
    </row>
    <row r="18858" spans="9:10" x14ac:dyDescent="0.25">
      <c r="I18858" s="199"/>
      <c r="J18858" s="199"/>
    </row>
    <row r="18859" spans="9:10" x14ac:dyDescent="0.25">
      <c r="I18859" s="199"/>
      <c r="J18859" s="199"/>
    </row>
    <row r="18860" spans="9:10" x14ac:dyDescent="0.25">
      <c r="I18860" s="199"/>
      <c r="J18860" s="199"/>
    </row>
    <row r="18861" spans="9:10" x14ac:dyDescent="0.25">
      <c r="I18861" s="199"/>
      <c r="J18861" s="199"/>
    </row>
    <row r="18862" spans="9:10" x14ac:dyDescent="0.25">
      <c r="I18862" s="199"/>
      <c r="J18862" s="199"/>
    </row>
    <row r="18863" spans="9:10" x14ac:dyDescent="0.25">
      <c r="I18863" s="199"/>
      <c r="J18863" s="199"/>
    </row>
    <row r="18864" spans="9:10" x14ac:dyDescent="0.25">
      <c r="I18864" s="199"/>
      <c r="J18864" s="199"/>
    </row>
    <row r="18865" spans="9:10" x14ac:dyDescent="0.25">
      <c r="I18865" s="199"/>
      <c r="J18865" s="199"/>
    </row>
    <row r="18866" spans="9:10" x14ac:dyDescent="0.25">
      <c r="I18866" s="199"/>
      <c r="J18866" s="199"/>
    </row>
    <row r="18867" spans="9:10" x14ac:dyDescent="0.25">
      <c r="I18867" s="199"/>
      <c r="J18867" s="199"/>
    </row>
    <row r="18868" spans="9:10" x14ac:dyDescent="0.25">
      <c r="I18868" s="199"/>
      <c r="J18868" s="199"/>
    </row>
    <row r="18869" spans="9:10" x14ac:dyDescent="0.25">
      <c r="I18869" s="199"/>
      <c r="J18869" s="199"/>
    </row>
    <row r="18870" spans="9:10" x14ac:dyDescent="0.25">
      <c r="I18870" s="199"/>
      <c r="J18870" s="199"/>
    </row>
    <row r="18871" spans="9:10" x14ac:dyDescent="0.25">
      <c r="I18871" s="199"/>
      <c r="J18871" s="199"/>
    </row>
    <row r="18872" spans="9:10" x14ac:dyDescent="0.25">
      <c r="I18872" s="199"/>
      <c r="J18872" s="199"/>
    </row>
    <row r="18873" spans="9:10" x14ac:dyDescent="0.25">
      <c r="I18873" s="199"/>
      <c r="J18873" s="199"/>
    </row>
    <row r="18874" spans="9:10" x14ac:dyDescent="0.25">
      <c r="I18874" s="199"/>
      <c r="J18874" s="199"/>
    </row>
    <row r="18875" spans="9:10" x14ac:dyDescent="0.25">
      <c r="I18875" s="199"/>
      <c r="J18875" s="199"/>
    </row>
    <row r="18876" spans="9:10" x14ac:dyDescent="0.25">
      <c r="I18876" s="199"/>
      <c r="J18876" s="199"/>
    </row>
    <row r="18877" spans="9:10" x14ac:dyDescent="0.25">
      <c r="I18877" s="199"/>
      <c r="J18877" s="199"/>
    </row>
    <row r="18878" spans="9:10" x14ac:dyDescent="0.25">
      <c r="I18878" s="199"/>
      <c r="J18878" s="199"/>
    </row>
    <row r="18879" spans="9:10" x14ac:dyDescent="0.25">
      <c r="I18879" s="199"/>
      <c r="J18879" s="199"/>
    </row>
    <row r="18880" spans="9:10" x14ac:dyDescent="0.25">
      <c r="I18880" s="199"/>
      <c r="J18880" s="199"/>
    </row>
    <row r="18881" spans="9:10" x14ac:dyDescent="0.25">
      <c r="I18881" s="199"/>
      <c r="J18881" s="199"/>
    </row>
    <row r="18882" spans="9:10" x14ac:dyDescent="0.25">
      <c r="I18882" s="199"/>
      <c r="J18882" s="199"/>
    </row>
    <row r="18883" spans="9:10" x14ac:dyDescent="0.25">
      <c r="I18883" s="199"/>
      <c r="J18883" s="199"/>
    </row>
    <row r="18884" spans="9:10" x14ac:dyDescent="0.25">
      <c r="I18884" s="199"/>
      <c r="J18884" s="199"/>
    </row>
    <row r="18885" spans="9:10" x14ac:dyDescent="0.25">
      <c r="I18885" s="199"/>
      <c r="J18885" s="199"/>
    </row>
    <row r="18886" spans="9:10" x14ac:dyDescent="0.25">
      <c r="I18886" s="199"/>
      <c r="J18886" s="199"/>
    </row>
    <row r="18887" spans="9:10" x14ac:dyDescent="0.25">
      <c r="I18887" s="199"/>
      <c r="J18887" s="199"/>
    </row>
    <row r="18888" spans="9:10" x14ac:dyDescent="0.25">
      <c r="I18888" s="199"/>
      <c r="J18888" s="199"/>
    </row>
    <row r="18889" spans="9:10" x14ac:dyDescent="0.25">
      <c r="I18889" s="199"/>
      <c r="J18889" s="199"/>
    </row>
    <row r="18890" spans="9:10" x14ac:dyDescent="0.25">
      <c r="I18890" s="199"/>
      <c r="J18890" s="199"/>
    </row>
    <row r="18891" spans="9:10" x14ac:dyDescent="0.25">
      <c r="I18891" s="199"/>
      <c r="J18891" s="199"/>
    </row>
    <row r="18892" spans="9:10" x14ac:dyDescent="0.25">
      <c r="I18892" s="199"/>
      <c r="J18892" s="199"/>
    </row>
    <row r="18893" spans="9:10" x14ac:dyDescent="0.25">
      <c r="I18893" s="199"/>
      <c r="J18893" s="199"/>
    </row>
    <row r="18894" spans="9:10" x14ac:dyDescent="0.25">
      <c r="I18894" s="199"/>
      <c r="J18894" s="199"/>
    </row>
    <row r="18895" spans="9:10" x14ac:dyDescent="0.25">
      <c r="I18895" s="199"/>
      <c r="J18895" s="199"/>
    </row>
    <row r="18896" spans="9:10" x14ac:dyDescent="0.25">
      <c r="I18896" s="199"/>
      <c r="J18896" s="199"/>
    </row>
    <row r="18897" spans="9:10" x14ac:dyDescent="0.25">
      <c r="I18897" s="199"/>
      <c r="J18897" s="199"/>
    </row>
    <row r="18898" spans="9:10" x14ac:dyDescent="0.25">
      <c r="I18898" s="199"/>
      <c r="J18898" s="199"/>
    </row>
    <row r="18899" spans="9:10" x14ac:dyDescent="0.25">
      <c r="I18899" s="199"/>
      <c r="J18899" s="199"/>
    </row>
    <row r="18900" spans="9:10" x14ac:dyDescent="0.25">
      <c r="I18900" s="199"/>
      <c r="J18900" s="199"/>
    </row>
    <row r="18901" spans="9:10" x14ac:dyDescent="0.25">
      <c r="I18901" s="199"/>
      <c r="J18901" s="199"/>
    </row>
    <row r="18902" spans="9:10" x14ac:dyDescent="0.25">
      <c r="I18902" s="199"/>
      <c r="J18902" s="199"/>
    </row>
    <row r="18903" spans="9:10" x14ac:dyDescent="0.25">
      <c r="I18903" s="199"/>
      <c r="J18903" s="199"/>
    </row>
    <row r="18904" spans="9:10" x14ac:dyDescent="0.25">
      <c r="I18904" s="199"/>
      <c r="J18904" s="199"/>
    </row>
    <row r="18905" spans="9:10" x14ac:dyDescent="0.25">
      <c r="I18905" s="199"/>
      <c r="J18905" s="199"/>
    </row>
    <row r="18906" spans="9:10" x14ac:dyDescent="0.25">
      <c r="I18906" s="199"/>
      <c r="J18906" s="199"/>
    </row>
    <row r="18907" spans="9:10" x14ac:dyDescent="0.25">
      <c r="I18907" s="199"/>
      <c r="J18907" s="199"/>
    </row>
    <row r="18908" spans="9:10" x14ac:dyDescent="0.25">
      <c r="I18908" s="199"/>
      <c r="J18908" s="199"/>
    </row>
    <row r="18909" spans="9:10" x14ac:dyDescent="0.25">
      <c r="I18909" s="199"/>
      <c r="J18909" s="199"/>
    </row>
    <row r="18910" spans="9:10" x14ac:dyDescent="0.25">
      <c r="I18910" s="199"/>
      <c r="J18910" s="199"/>
    </row>
    <row r="18911" spans="9:10" x14ac:dyDescent="0.25">
      <c r="I18911" s="199"/>
      <c r="J18911" s="199"/>
    </row>
    <row r="18912" spans="9:10" x14ac:dyDescent="0.25">
      <c r="I18912" s="199"/>
      <c r="J18912" s="199"/>
    </row>
    <row r="18913" spans="9:10" x14ac:dyDescent="0.25">
      <c r="I18913" s="199"/>
      <c r="J18913" s="199"/>
    </row>
    <row r="18914" spans="9:10" x14ac:dyDescent="0.25">
      <c r="I18914" s="199"/>
      <c r="J18914" s="199"/>
    </row>
    <row r="18915" spans="9:10" x14ac:dyDescent="0.25">
      <c r="I18915" s="199"/>
      <c r="J18915" s="199"/>
    </row>
    <row r="18916" spans="9:10" x14ac:dyDescent="0.25">
      <c r="I18916" s="199"/>
      <c r="J18916" s="199"/>
    </row>
    <row r="18917" spans="9:10" x14ac:dyDescent="0.25">
      <c r="I18917" s="199"/>
      <c r="J18917" s="199"/>
    </row>
    <row r="18918" spans="9:10" x14ac:dyDescent="0.25">
      <c r="I18918" s="199"/>
      <c r="J18918" s="199"/>
    </row>
    <row r="18919" spans="9:10" x14ac:dyDescent="0.25">
      <c r="I18919" s="199"/>
      <c r="J18919" s="199"/>
    </row>
    <row r="18920" spans="9:10" x14ac:dyDescent="0.25">
      <c r="I18920" s="199"/>
      <c r="J18920" s="199"/>
    </row>
    <row r="18921" spans="9:10" x14ac:dyDescent="0.25">
      <c r="I18921" s="199"/>
      <c r="J18921" s="199"/>
    </row>
    <row r="18922" spans="9:10" x14ac:dyDescent="0.25">
      <c r="I18922" s="199"/>
      <c r="J18922" s="199"/>
    </row>
    <row r="18923" spans="9:10" x14ac:dyDescent="0.25">
      <c r="I18923" s="199"/>
      <c r="J18923" s="199"/>
    </row>
    <row r="18924" spans="9:10" x14ac:dyDescent="0.25">
      <c r="I18924" s="199"/>
      <c r="J18924" s="199"/>
    </row>
    <row r="18925" spans="9:10" x14ac:dyDescent="0.25">
      <c r="I18925" s="199"/>
      <c r="J18925" s="199"/>
    </row>
    <row r="18926" spans="9:10" x14ac:dyDescent="0.25">
      <c r="I18926" s="199"/>
      <c r="J18926" s="199"/>
    </row>
    <row r="18927" spans="9:10" x14ac:dyDescent="0.25">
      <c r="I18927" s="199"/>
      <c r="J18927" s="199"/>
    </row>
    <row r="18928" spans="9:10" x14ac:dyDescent="0.25">
      <c r="I18928" s="199"/>
      <c r="J18928" s="199"/>
    </row>
    <row r="18929" spans="9:10" x14ac:dyDescent="0.25">
      <c r="I18929" s="199"/>
      <c r="J18929" s="199"/>
    </row>
    <row r="18930" spans="9:10" x14ac:dyDescent="0.25">
      <c r="I18930" s="199"/>
      <c r="J18930" s="199"/>
    </row>
    <row r="18931" spans="9:10" x14ac:dyDescent="0.25">
      <c r="I18931" s="199"/>
      <c r="J18931" s="199"/>
    </row>
    <row r="18932" spans="9:10" x14ac:dyDescent="0.25">
      <c r="I18932" s="199"/>
      <c r="J18932" s="199"/>
    </row>
    <row r="18933" spans="9:10" x14ac:dyDescent="0.25">
      <c r="I18933" s="199"/>
      <c r="J18933" s="199"/>
    </row>
    <row r="18934" spans="9:10" x14ac:dyDescent="0.25">
      <c r="I18934" s="199"/>
      <c r="J18934" s="199"/>
    </row>
    <row r="18935" spans="9:10" x14ac:dyDescent="0.25">
      <c r="I18935" s="199"/>
      <c r="J18935" s="199"/>
    </row>
    <row r="18936" spans="9:10" x14ac:dyDescent="0.25">
      <c r="I18936" s="199"/>
      <c r="J18936" s="199"/>
    </row>
    <row r="18937" spans="9:10" x14ac:dyDescent="0.25">
      <c r="I18937" s="199"/>
      <c r="J18937" s="199"/>
    </row>
    <row r="18938" spans="9:10" x14ac:dyDescent="0.25">
      <c r="I18938" s="199"/>
      <c r="J18938" s="199"/>
    </row>
    <row r="18939" spans="9:10" x14ac:dyDescent="0.25">
      <c r="I18939" s="199"/>
      <c r="J18939" s="199"/>
    </row>
    <row r="18940" spans="9:10" x14ac:dyDescent="0.25">
      <c r="I18940" s="199"/>
      <c r="J18940" s="199"/>
    </row>
    <row r="18941" spans="9:10" x14ac:dyDescent="0.25">
      <c r="I18941" s="199"/>
      <c r="J18941" s="199"/>
    </row>
    <row r="18942" spans="9:10" x14ac:dyDescent="0.25">
      <c r="I18942" s="199"/>
      <c r="J18942" s="199"/>
    </row>
    <row r="18943" spans="9:10" x14ac:dyDescent="0.25">
      <c r="I18943" s="199"/>
      <c r="J18943" s="199"/>
    </row>
    <row r="18944" spans="9:10" x14ac:dyDescent="0.25">
      <c r="I18944" s="199"/>
      <c r="J18944" s="199"/>
    </row>
    <row r="18945" spans="9:10" x14ac:dyDescent="0.25">
      <c r="I18945" s="199"/>
      <c r="J18945" s="199"/>
    </row>
    <row r="18946" spans="9:10" x14ac:dyDescent="0.25">
      <c r="I18946" s="199"/>
      <c r="J18946" s="199"/>
    </row>
    <row r="18947" spans="9:10" x14ac:dyDescent="0.25">
      <c r="I18947" s="199"/>
      <c r="J18947" s="199"/>
    </row>
    <row r="18948" spans="9:10" x14ac:dyDescent="0.25">
      <c r="I18948" s="199"/>
      <c r="J18948" s="199"/>
    </row>
    <row r="18949" spans="9:10" x14ac:dyDescent="0.25">
      <c r="I18949" s="199"/>
      <c r="J18949" s="199"/>
    </row>
    <row r="18950" spans="9:10" x14ac:dyDescent="0.25">
      <c r="I18950" s="199"/>
      <c r="J18950" s="199"/>
    </row>
    <row r="18951" spans="9:10" x14ac:dyDescent="0.25">
      <c r="I18951" s="199"/>
      <c r="J18951" s="199"/>
    </row>
    <row r="18952" spans="9:10" x14ac:dyDescent="0.25">
      <c r="I18952" s="199"/>
      <c r="J18952" s="199"/>
    </row>
    <row r="18953" spans="9:10" x14ac:dyDescent="0.25">
      <c r="I18953" s="199"/>
      <c r="J18953" s="199"/>
    </row>
    <row r="18954" spans="9:10" x14ac:dyDescent="0.25">
      <c r="I18954" s="199"/>
      <c r="J18954" s="199"/>
    </row>
    <row r="18955" spans="9:10" x14ac:dyDescent="0.25">
      <c r="I18955" s="199"/>
      <c r="J18955" s="199"/>
    </row>
    <row r="18956" spans="9:10" x14ac:dyDescent="0.25">
      <c r="I18956" s="199"/>
      <c r="J18956" s="199"/>
    </row>
    <row r="18957" spans="9:10" x14ac:dyDescent="0.25">
      <c r="I18957" s="199"/>
      <c r="J18957" s="199"/>
    </row>
    <row r="18958" spans="9:10" x14ac:dyDescent="0.25">
      <c r="I18958" s="199"/>
      <c r="J18958" s="199"/>
    </row>
    <row r="18959" spans="9:10" x14ac:dyDescent="0.25">
      <c r="I18959" s="199"/>
      <c r="J18959" s="199"/>
    </row>
    <row r="18960" spans="9:10" x14ac:dyDescent="0.25">
      <c r="I18960" s="199"/>
      <c r="J18960" s="199"/>
    </row>
    <row r="18961" spans="9:10" x14ac:dyDescent="0.25">
      <c r="I18961" s="199"/>
      <c r="J18961" s="199"/>
    </row>
    <row r="18962" spans="9:10" x14ac:dyDescent="0.25">
      <c r="I18962" s="199"/>
      <c r="J18962" s="199"/>
    </row>
    <row r="18963" spans="9:10" x14ac:dyDescent="0.25">
      <c r="I18963" s="199"/>
      <c r="J18963" s="199"/>
    </row>
    <row r="18964" spans="9:10" x14ac:dyDescent="0.25">
      <c r="I18964" s="199"/>
      <c r="J18964" s="199"/>
    </row>
    <row r="18965" spans="9:10" x14ac:dyDescent="0.25">
      <c r="I18965" s="199"/>
      <c r="J18965" s="199"/>
    </row>
    <row r="18966" spans="9:10" x14ac:dyDescent="0.25">
      <c r="I18966" s="199"/>
      <c r="J18966" s="199"/>
    </row>
    <row r="18967" spans="9:10" x14ac:dyDescent="0.25">
      <c r="I18967" s="199"/>
      <c r="J18967" s="199"/>
    </row>
    <row r="18968" spans="9:10" x14ac:dyDescent="0.25">
      <c r="I18968" s="199"/>
      <c r="J18968" s="199"/>
    </row>
    <row r="18969" spans="9:10" x14ac:dyDescent="0.25">
      <c r="I18969" s="199"/>
      <c r="J18969" s="199"/>
    </row>
    <row r="18970" spans="9:10" x14ac:dyDescent="0.25">
      <c r="I18970" s="199"/>
      <c r="J18970" s="199"/>
    </row>
    <row r="18971" spans="9:10" x14ac:dyDescent="0.25">
      <c r="I18971" s="199"/>
      <c r="J18971" s="199"/>
    </row>
    <row r="18972" spans="9:10" x14ac:dyDescent="0.25">
      <c r="I18972" s="199"/>
      <c r="J18972" s="199"/>
    </row>
    <row r="18973" spans="9:10" x14ac:dyDescent="0.25">
      <c r="I18973" s="199"/>
      <c r="J18973" s="199"/>
    </row>
    <row r="18974" spans="9:10" x14ac:dyDescent="0.25">
      <c r="I18974" s="199"/>
      <c r="J18974" s="199"/>
    </row>
    <row r="18975" spans="9:10" x14ac:dyDescent="0.25">
      <c r="I18975" s="199"/>
      <c r="J18975" s="199"/>
    </row>
    <row r="18976" spans="9:10" x14ac:dyDescent="0.25">
      <c r="I18976" s="199"/>
      <c r="J18976" s="199"/>
    </row>
    <row r="18977" spans="9:10" x14ac:dyDescent="0.25">
      <c r="I18977" s="199"/>
      <c r="J18977" s="199"/>
    </row>
    <row r="18978" spans="9:10" x14ac:dyDescent="0.25">
      <c r="I18978" s="199"/>
      <c r="J18978" s="199"/>
    </row>
    <row r="18979" spans="9:10" x14ac:dyDescent="0.25">
      <c r="I18979" s="199"/>
      <c r="J18979" s="199"/>
    </row>
    <row r="18980" spans="9:10" x14ac:dyDescent="0.25">
      <c r="I18980" s="199"/>
      <c r="J18980" s="199"/>
    </row>
    <row r="18981" spans="9:10" x14ac:dyDescent="0.25">
      <c r="I18981" s="199"/>
      <c r="J18981" s="199"/>
    </row>
    <row r="18982" spans="9:10" x14ac:dyDescent="0.25">
      <c r="I18982" s="199"/>
      <c r="J18982" s="199"/>
    </row>
    <row r="18983" spans="9:10" x14ac:dyDescent="0.25">
      <c r="I18983" s="199"/>
      <c r="J18983" s="199"/>
    </row>
    <row r="18984" spans="9:10" x14ac:dyDescent="0.25">
      <c r="I18984" s="199"/>
      <c r="J18984" s="199"/>
    </row>
    <row r="18985" spans="9:10" x14ac:dyDescent="0.25">
      <c r="I18985" s="199"/>
      <c r="J18985" s="199"/>
    </row>
    <row r="18986" spans="9:10" x14ac:dyDescent="0.25">
      <c r="I18986" s="199"/>
      <c r="J18986" s="199"/>
    </row>
    <row r="18987" spans="9:10" x14ac:dyDescent="0.25">
      <c r="I18987" s="199"/>
      <c r="J18987" s="199"/>
    </row>
    <row r="18988" spans="9:10" x14ac:dyDescent="0.25">
      <c r="I18988" s="199"/>
      <c r="J18988" s="199"/>
    </row>
    <row r="18989" spans="9:10" x14ac:dyDescent="0.25">
      <c r="I18989" s="199"/>
      <c r="J18989" s="199"/>
    </row>
    <row r="18990" spans="9:10" x14ac:dyDescent="0.25">
      <c r="I18990" s="199"/>
      <c r="J18990" s="199"/>
    </row>
    <row r="18991" spans="9:10" x14ac:dyDescent="0.25">
      <c r="I18991" s="199"/>
      <c r="J18991" s="199"/>
    </row>
    <row r="18992" spans="9:10" x14ac:dyDescent="0.25">
      <c r="I18992" s="199"/>
      <c r="J18992" s="199"/>
    </row>
    <row r="18993" spans="9:10" x14ac:dyDescent="0.25">
      <c r="I18993" s="199"/>
      <c r="J18993" s="199"/>
    </row>
    <row r="18994" spans="9:10" x14ac:dyDescent="0.25">
      <c r="I18994" s="199"/>
      <c r="J18994" s="199"/>
    </row>
    <row r="18995" spans="9:10" x14ac:dyDescent="0.25">
      <c r="I18995" s="199"/>
      <c r="J18995" s="199"/>
    </row>
    <row r="18996" spans="9:10" x14ac:dyDescent="0.25">
      <c r="I18996" s="199"/>
      <c r="J18996" s="199"/>
    </row>
    <row r="18997" spans="9:10" x14ac:dyDescent="0.25">
      <c r="I18997" s="199"/>
      <c r="J18997" s="199"/>
    </row>
    <row r="18998" spans="9:10" x14ac:dyDescent="0.25">
      <c r="I18998" s="199"/>
      <c r="J18998" s="199"/>
    </row>
    <row r="18999" spans="9:10" x14ac:dyDescent="0.25">
      <c r="I18999" s="199"/>
      <c r="J18999" s="199"/>
    </row>
    <row r="19000" spans="9:10" x14ac:dyDescent="0.25">
      <c r="I19000" s="199"/>
      <c r="J19000" s="199"/>
    </row>
    <row r="19001" spans="9:10" x14ac:dyDescent="0.25">
      <c r="I19001" s="199"/>
      <c r="J19001" s="199"/>
    </row>
    <row r="19002" spans="9:10" x14ac:dyDescent="0.25">
      <c r="I19002" s="199"/>
      <c r="J19002" s="199"/>
    </row>
    <row r="19003" spans="9:10" x14ac:dyDescent="0.25">
      <c r="I19003" s="199"/>
      <c r="J19003" s="199"/>
    </row>
    <row r="19004" spans="9:10" x14ac:dyDescent="0.25">
      <c r="I19004" s="199"/>
      <c r="J19004" s="199"/>
    </row>
    <row r="19005" spans="9:10" x14ac:dyDescent="0.25">
      <c r="I19005" s="199"/>
      <c r="J19005" s="199"/>
    </row>
    <row r="19006" spans="9:10" x14ac:dyDescent="0.25">
      <c r="I19006" s="199"/>
      <c r="J19006" s="199"/>
    </row>
    <row r="19007" spans="9:10" x14ac:dyDescent="0.25">
      <c r="I19007" s="199"/>
      <c r="J19007" s="199"/>
    </row>
    <row r="19008" spans="9:10" x14ac:dyDescent="0.25">
      <c r="I19008" s="199"/>
      <c r="J19008" s="199"/>
    </row>
    <row r="19009" spans="9:10" x14ac:dyDescent="0.25">
      <c r="I19009" s="199"/>
      <c r="J19009" s="199"/>
    </row>
    <row r="19010" spans="9:10" x14ac:dyDescent="0.25">
      <c r="I19010" s="199"/>
      <c r="J19010" s="199"/>
    </row>
    <row r="19011" spans="9:10" x14ac:dyDescent="0.25">
      <c r="I19011" s="199"/>
      <c r="J19011" s="199"/>
    </row>
    <row r="19012" spans="9:10" x14ac:dyDescent="0.25">
      <c r="I19012" s="199"/>
      <c r="J19012" s="199"/>
    </row>
    <row r="19013" spans="9:10" x14ac:dyDescent="0.25">
      <c r="I19013" s="199"/>
      <c r="J19013" s="199"/>
    </row>
    <row r="19014" spans="9:10" x14ac:dyDescent="0.25">
      <c r="I19014" s="199"/>
      <c r="J19014" s="199"/>
    </row>
    <row r="19015" spans="9:10" x14ac:dyDescent="0.25">
      <c r="I19015" s="199"/>
      <c r="J19015" s="199"/>
    </row>
    <row r="19016" spans="9:10" x14ac:dyDescent="0.25">
      <c r="I19016" s="199"/>
      <c r="J19016" s="199"/>
    </row>
    <row r="19017" spans="9:10" x14ac:dyDescent="0.25">
      <c r="I19017" s="199"/>
      <c r="J19017" s="199"/>
    </row>
    <row r="19018" spans="9:10" x14ac:dyDescent="0.25">
      <c r="I19018" s="199"/>
      <c r="J19018" s="199"/>
    </row>
    <row r="19019" spans="9:10" x14ac:dyDescent="0.25">
      <c r="I19019" s="199"/>
      <c r="J19019" s="199"/>
    </row>
    <row r="19020" spans="9:10" x14ac:dyDescent="0.25">
      <c r="I19020" s="199"/>
      <c r="J19020" s="199"/>
    </row>
    <row r="19021" spans="9:10" x14ac:dyDescent="0.25">
      <c r="I19021" s="199"/>
      <c r="J19021" s="199"/>
    </row>
    <row r="19022" spans="9:10" x14ac:dyDescent="0.25">
      <c r="I19022" s="199"/>
      <c r="J19022" s="199"/>
    </row>
    <row r="19023" spans="9:10" x14ac:dyDescent="0.25">
      <c r="I19023" s="199"/>
      <c r="J19023" s="199"/>
    </row>
    <row r="19024" spans="9:10" x14ac:dyDescent="0.25">
      <c r="I19024" s="199"/>
      <c r="J19024" s="199"/>
    </row>
    <row r="19025" spans="9:10" x14ac:dyDescent="0.25">
      <c r="I19025" s="199"/>
      <c r="J19025" s="199"/>
    </row>
    <row r="19026" spans="9:10" x14ac:dyDescent="0.25">
      <c r="I19026" s="199"/>
      <c r="J19026" s="199"/>
    </row>
    <row r="19027" spans="9:10" x14ac:dyDescent="0.25">
      <c r="I19027" s="199"/>
      <c r="J19027" s="199"/>
    </row>
    <row r="19028" spans="9:10" x14ac:dyDescent="0.25">
      <c r="I19028" s="199"/>
      <c r="J19028" s="199"/>
    </row>
    <row r="19029" spans="9:10" x14ac:dyDescent="0.25">
      <c r="I19029" s="199"/>
      <c r="J19029" s="199"/>
    </row>
    <row r="19030" spans="9:10" x14ac:dyDescent="0.25">
      <c r="I19030" s="199"/>
      <c r="J19030" s="199"/>
    </row>
    <row r="19031" spans="9:10" x14ac:dyDescent="0.25">
      <c r="I19031" s="199"/>
      <c r="J19031" s="199"/>
    </row>
    <row r="19032" spans="9:10" x14ac:dyDescent="0.25">
      <c r="I19032" s="199"/>
      <c r="J19032" s="199"/>
    </row>
    <row r="19033" spans="9:10" x14ac:dyDescent="0.25">
      <c r="I19033" s="199"/>
      <c r="J19033" s="199"/>
    </row>
    <row r="19034" spans="9:10" x14ac:dyDescent="0.25">
      <c r="I19034" s="199"/>
      <c r="J19034" s="199"/>
    </row>
    <row r="19035" spans="9:10" x14ac:dyDescent="0.25">
      <c r="I19035" s="199"/>
      <c r="J19035" s="199"/>
    </row>
    <row r="19036" spans="9:10" x14ac:dyDescent="0.25">
      <c r="I19036" s="199"/>
      <c r="J19036" s="199"/>
    </row>
    <row r="19037" spans="9:10" x14ac:dyDescent="0.25">
      <c r="I19037" s="199"/>
      <c r="J19037" s="199"/>
    </row>
    <row r="19038" spans="9:10" x14ac:dyDescent="0.25">
      <c r="I19038" s="199"/>
      <c r="J19038" s="199"/>
    </row>
    <row r="19039" spans="9:10" x14ac:dyDescent="0.25">
      <c r="I19039" s="199"/>
      <c r="J19039" s="199"/>
    </row>
    <row r="19040" spans="9:10" x14ac:dyDescent="0.25">
      <c r="I19040" s="199"/>
      <c r="J19040" s="199"/>
    </row>
    <row r="19041" spans="9:10" x14ac:dyDescent="0.25">
      <c r="I19041" s="199"/>
      <c r="J19041" s="199"/>
    </row>
    <row r="19042" spans="9:10" x14ac:dyDescent="0.25">
      <c r="I19042" s="199"/>
      <c r="J19042" s="199"/>
    </row>
    <row r="19043" spans="9:10" x14ac:dyDescent="0.25">
      <c r="I19043" s="199"/>
      <c r="J19043" s="199"/>
    </row>
    <row r="19044" spans="9:10" x14ac:dyDescent="0.25">
      <c r="I19044" s="199"/>
      <c r="J19044" s="199"/>
    </row>
    <row r="19045" spans="9:10" x14ac:dyDescent="0.25">
      <c r="I19045" s="199"/>
      <c r="J19045" s="199"/>
    </row>
    <row r="19046" spans="9:10" x14ac:dyDescent="0.25">
      <c r="I19046" s="199"/>
      <c r="J19046" s="199"/>
    </row>
    <row r="19047" spans="9:10" x14ac:dyDescent="0.25">
      <c r="I19047" s="199"/>
      <c r="J19047" s="199"/>
    </row>
    <row r="19048" spans="9:10" x14ac:dyDescent="0.25">
      <c r="I19048" s="199"/>
      <c r="J19048" s="199"/>
    </row>
    <row r="19049" spans="9:10" x14ac:dyDescent="0.25">
      <c r="I19049" s="199"/>
      <c r="J19049" s="199"/>
    </row>
    <row r="19050" spans="9:10" x14ac:dyDescent="0.25">
      <c r="I19050" s="199"/>
      <c r="J19050" s="199"/>
    </row>
    <row r="19051" spans="9:10" x14ac:dyDescent="0.25">
      <c r="I19051" s="199"/>
      <c r="J19051" s="199"/>
    </row>
    <row r="19052" spans="9:10" x14ac:dyDescent="0.25">
      <c r="I19052" s="199"/>
      <c r="J19052" s="199"/>
    </row>
    <row r="19053" spans="9:10" x14ac:dyDescent="0.25">
      <c r="I19053" s="199"/>
      <c r="J19053" s="199"/>
    </row>
    <row r="19054" spans="9:10" x14ac:dyDescent="0.25">
      <c r="I19054" s="199"/>
      <c r="J19054" s="199"/>
    </row>
    <row r="19055" spans="9:10" x14ac:dyDescent="0.25">
      <c r="I19055" s="199"/>
      <c r="J19055" s="199"/>
    </row>
    <row r="19056" spans="9:10" x14ac:dyDescent="0.25">
      <c r="I19056" s="199"/>
      <c r="J19056" s="199"/>
    </row>
    <row r="19057" spans="9:10" x14ac:dyDescent="0.25">
      <c r="I19057" s="199"/>
      <c r="J19057" s="199"/>
    </row>
    <row r="19058" spans="9:10" x14ac:dyDescent="0.25">
      <c r="I19058" s="199"/>
      <c r="J19058" s="199"/>
    </row>
    <row r="19059" spans="9:10" x14ac:dyDescent="0.25">
      <c r="I19059" s="199"/>
      <c r="J19059" s="199"/>
    </row>
    <row r="19060" spans="9:10" x14ac:dyDescent="0.25">
      <c r="I19060" s="199"/>
      <c r="J19060" s="199"/>
    </row>
    <row r="19061" spans="9:10" x14ac:dyDescent="0.25">
      <c r="I19061" s="199"/>
      <c r="J19061" s="199"/>
    </row>
    <row r="19062" spans="9:10" x14ac:dyDescent="0.25">
      <c r="I19062" s="199"/>
      <c r="J19062" s="199"/>
    </row>
    <row r="19063" spans="9:10" x14ac:dyDescent="0.25">
      <c r="I19063" s="199"/>
      <c r="J19063" s="199"/>
    </row>
    <row r="19064" spans="9:10" x14ac:dyDescent="0.25">
      <c r="I19064" s="199"/>
      <c r="J19064" s="199"/>
    </row>
    <row r="19065" spans="9:10" x14ac:dyDescent="0.25">
      <c r="I19065" s="199"/>
      <c r="J19065" s="199"/>
    </row>
    <row r="19066" spans="9:10" x14ac:dyDescent="0.25">
      <c r="I19066" s="199"/>
      <c r="J19066" s="199"/>
    </row>
    <row r="19067" spans="9:10" x14ac:dyDescent="0.25">
      <c r="I19067" s="199"/>
      <c r="J19067" s="199"/>
    </row>
    <row r="19068" spans="9:10" x14ac:dyDescent="0.25">
      <c r="I19068" s="199"/>
      <c r="J19068" s="199"/>
    </row>
    <row r="19069" spans="9:10" x14ac:dyDescent="0.25">
      <c r="I19069" s="199"/>
      <c r="J19069" s="199"/>
    </row>
    <row r="19070" spans="9:10" x14ac:dyDescent="0.25">
      <c r="I19070" s="199"/>
      <c r="J19070" s="199"/>
    </row>
    <row r="19071" spans="9:10" x14ac:dyDescent="0.25">
      <c r="I19071" s="199"/>
      <c r="J19071" s="199"/>
    </row>
    <row r="19072" spans="9:10" x14ac:dyDescent="0.25">
      <c r="I19072" s="199"/>
      <c r="J19072" s="199"/>
    </row>
    <row r="19073" spans="9:10" x14ac:dyDescent="0.25">
      <c r="I19073" s="199"/>
      <c r="J19073" s="199"/>
    </row>
    <row r="19074" spans="9:10" x14ac:dyDescent="0.25">
      <c r="I19074" s="199"/>
      <c r="J19074" s="199"/>
    </row>
    <row r="19075" spans="9:10" x14ac:dyDescent="0.25">
      <c r="I19075" s="199"/>
      <c r="J19075" s="199"/>
    </row>
    <row r="19076" spans="9:10" x14ac:dyDescent="0.25">
      <c r="I19076" s="199"/>
      <c r="J19076" s="199"/>
    </row>
    <row r="19077" spans="9:10" x14ac:dyDescent="0.25">
      <c r="I19077" s="199"/>
      <c r="J19077" s="199"/>
    </row>
    <row r="19078" spans="9:10" x14ac:dyDescent="0.25">
      <c r="I19078" s="199"/>
      <c r="J19078" s="199"/>
    </row>
    <row r="19079" spans="9:10" x14ac:dyDescent="0.25">
      <c r="I19079" s="199"/>
      <c r="J19079" s="199"/>
    </row>
    <row r="19080" spans="9:10" x14ac:dyDescent="0.25">
      <c r="I19080" s="199"/>
      <c r="J19080" s="199"/>
    </row>
    <row r="19081" spans="9:10" x14ac:dyDescent="0.25">
      <c r="I19081" s="199"/>
      <c r="J19081" s="199"/>
    </row>
    <row r="19082" spans="9:10" x14ac:dyDescent="0.25">
      <c r="I19082" s="199"/>
      <c r="J19082" s="199"/>
    </row>
    <row r="19083" spans="9:10" x14ac:dyDescent="0.25">
      <c r="I19083" s="199"/>
      <c r="J19083" s="199"/>
    </row>
    <row r="19084" spans="9:10" x14ac:dyDescent="0.25">
      <c r="I19084" s="199"/>
      <c r="J19084" s="199"/>
    </row>
    <row r="19085" spans="9:10" x14ac:dyDescent="0.25">
      <c r="I19085" s="199"/>
      <c r="J19085" s="199"/>
    </row>
    <row r="19086" spans="9:10" x14ac:dyDescent="0.25">
      <c r="I19086" s="199"/>
      <c r="J19086" s="199"/>
    </row>
    <row r="19087" spans="9:10" x14ac:dyDescent="0.25">
      <c r="I19087" s="199"/>
      <c r="J19087" s="199"/>
    </row>
    <row r="19088" spans="9:10" x14ac:dyDescent="0.25">
      <c r="I19088" s="199"/>
      <c r="J19088" s="199"/>
    </row>
    <row r="19089" spans="9:10" x14ac:dyDescent="0.25">
      <c r="I19089" s="199"/>
      <c r="J19089" s="199"/>
    </row>
    <row r="19090" spans="9:10" x14ac:dyDescent="0.25">
      <c r="I19090" s="199"/>
      <c r="J19090" s="199"/>
    </row>
    <row r="19091" spans="9:10" x14ac:dyDescent="0.25">
      <c r="I19091" s="199"/>
      <c r="J19091" s="199"/>
    </row>
    <row r="19092" spans="9:10" x14ac:dyDescent="0.25">
      <c r="I19092" s="199"/>
      <c r="J19092" s="199"/>
    </row>
    <row r="19093" spans="9:10" x14ac:dyDescent="0.25">
      <c r="I19093" s="199"/>
      <c r="J19093" s="199"/>
    </row>
    <row r="19094" spans="9:10" x14ac:dyDescent="0.25">
      <c r="I19094" s="199"/>
      <c r="J19094" s="199"/>
    </row>
    <row r="19095" spans="9:10" x14ac:dyDescent="0.25">
      <c r="I19095" s="199"/>
      <c r="J19095" s="199"/>
    </row>
    <row r="19096" spans="9:10" x14ac:dyDescent="0.25">
      <c r="I19096" s="199"/>
      <c r="J19096" s="199"/>
    </row>
    <row r="19097" spans="9:10" x14ac:dyDescent="0.25">
      <c r="I19097" s="199"/>
      <c r="J19097" s="199"/>
    </row>
    <row r="19098" spans="9:10" x14ac:dyDescent="0.25">
      <c r="I19098" s="199"/>
      <c r="J19098" s="199"/>
    </row>
    <row r="19099" spans="9:10" x14ac:dyDescent="0.25">
      <c r="I19099" s="199"/>
      <c r="J19099" s="199"/>
    </row>
    <row r="19100" spans="9:10" x14ac:dyDescent="0.25">
      <c r="I19100" s="199"/>
      <c r="J19100" s="199"/>
    </row>
    <row r="19101" spans="9:10" x14ac:dyDescent="0.25">
      <c r="I19101" s="199"/>
      <c r="J19101" s="199"/>
    </row>
    <row r="19102" spans="9:10" x14ac:dyDescent="0.25">
      <c r="I19102" s="199"/>
      <c r="J19102" s="199"/>
    </row>
    <row r="19103" spans="9:10" x14ac:dyDescent="0.25">
      <c r="I19103" s="199"/>
      <c r="J19103" s="199"/>
    </row>
    <row r="19104" spans="9:10" x14ac:dyDescent="0.25">
      <c r="I19104" s="199"/>
      <c r="J19104" s="199"/>
    </row>
    <row r="19105" spans="9:10" x14ac:dyDescent="0.25">
      <c r="I19105" s="199"/>
      <c r="J19105" s="199"/>
    </row>
    <row r="19106" spans="9:10" x14ac:dyDescent="0.25">
      <c r="I19106" s="199"/>
      <c r="J19106" s="199"/>
    </row>
    <row r="19107" spans="9:10" x14ac:dyDescent="0.25">
      <c r="I19107" s="199"/>
      <c r="J19107" s="199"/>
    </row>
    <row r="19108" spans="9:10" x14ac:dyDescent="0.25">
      <c r="I19108" s="199"/>
      <c r="J19108" s="199"/>
    </row>
    <row r="19109" spans="9:10" x14ac:dyDescent="0.25">
      <c r="I19109" s="199"/>
      <c r="J19109" s="199"/>
    </row>
    <row r="19110" spans="9:10" x14ac:dyDescent="0.25">
      <c r="I19110" s="199"/>
      <c r="J19110" s="199"/>
    </row>
    <row r="19111" spans="9:10" x14ac:dyDescent="0.25">
      <c r="I19111" s="199"/>
      <c r="J19111" s="199"/>
    </row>
    <row r="19112" spans="9:10" x14ac:dyDescent="0.25">
      <c r="I19112" s="199"/>
      <c r="J19112" s="199"/>
    </row>
    <row r="19113" spans="9:10" x14ac:dyDescent="0.25">
      <c r="I19113" s="199"/>
      <c r="J19113" s="199"/>
    </row>
    <row r="19114" spans="9:10" x14ac:dyDescent="0.25">
      <c r="I19114" s="199"/>
      <c r="J19114" s="199"/>
    </row>
    <row r="19115" spans="9:10" x14ac:dyDescent="0.25">
      <c r="I19115" s="199"/>
      <c r="J19115" s="199"/>
    </row>
    <row r="19116" spans="9:10" x14ac:dyDescent="0.25">
      <c r="I19116" s="199"/>
      <c r="J19116" s="199"/>
    </row>
    <row r="19117" spans="9:10" x14ac:dyDescent="0.25">
      <c r="I19117" s="199"/>
      <c r="J19117" s="199"/>
    </row>
    <row r="19118" spans="9:10" x14ac:dyDescent="0.25">
      <c r="I19118" s="199"/>
      <c r="J19118" s="199"/>
    </row>
    <row r="19119" spans="9:10" x14ac:dyDescent="0.25">
      <c r="I19119" s="199"/>
      <c r="J19119" s="199"/>
    </row>
    <row r="19120" spans="9:10" x14ac:dyDescent="0.25">
      <c r="I19120" s="199"/>
      <c r="J19120" s="199"/>
    </row>
    <row r="19121" spans="9:10" x14ac:dyDescent="0.25">
      <c r="I19121" s="199"/>
      <c r="J19121" s="199"/>
    </row>
    <row r="19122" spans="9:10" x14ac:dyDescent="0.25">
      <c r="I19122" s="199"/>
      <c r="J19122" s="199"/>
    </row>
    <row r="19123" spans="9:10" x14ac:dyDescent="0.25">
      <c r="I19123" s="199"/>
      <c r="J19123" s="199"/>
    </row>
    <row r="19124" spans="9:10" x14ac:dyDescent="0.25">
      <c r="I19124" s="199"/>
      <c r="J19124" s="199"/>
    </row>
    <row r="19125" spans="9:10" x14ac:dyDescent="0.25">
      <c r="I19125" s="199"/>
      <c r="J19125" s="199"/>
    </row>
    <row r="19126" spans="9:10" x14ac:dyDescent="0.25">
      <c r="I19126" s="199"/>
      <c r="J19126" s="199"/>
    </row>
    <row r="19127" spans="9:10" x14ac:dyDescent="0.25">
      <c r="I19127" s="199"/>
      <c r="J19127" s="199"/>
    </row>
    <row r="19128" spans="9:10" x14ac:dyDescent="0.25">
      <c r="I19128" s="199"/>
      <c r="J19128" s="199"/>
    </row>
    <row r="19129" spans="9:10" x14ac:dyDescent="0.25">
      <c r="I19129" s="199"/>
      <c r="J19129" s="199"/>
    </row>
    <row r="19130" spans="9:10" x14ac:dyDescent="0.25">
      <c r="I19130" s="199"/>
      <c r="J19130" s="199"/>
    </row>
    <row r="19131" spans="9:10" x14ac:dyDescent="0.25">
      <c r="I19131" s="199"/>
      <c r="J19131" s="199"/>
    </row>
    <row r="19132" spans="9:10" x14ac:dyDescent="0.25">
      <c r="I19132" s="199"/>
      <c r="J19132" s="199"/>
    </row>
    <row r="19133" spans="9:10" x14ac:dyDescent="0.25">
      <c r="I19133" s="199"/>
      <c r="J19133" s="199"/>
    </row>
    <row r="19134" spans="9:10" x14ac:dyDescent="0.25">
      <c r="I19134" s="199"/>
      <c r="J19134" s="199"/>
    </row>
    <row r="19135" spans="9:10" x14ac:dyDescent="0.25">
      <c r="I19135" s="199"/>
      <c r="J19135" s="199"/>
    </row>
    <row r="19136" spans="9:10" x14ac:dyDescent="0.25">
      <c r="I19136" s="199"/>
      <c r="J19136" s="199"/>
    </row>
    <row r="19137" spans="9:10" x14ac:dyDescent="0.25">
      <c r="I19137" s="199"/>
      <c r="J19137" s="199"/>
    </row>
    <row r="19138" spans="9:10" x14ac:dyDescent="0.25">
      <c r="I19138" s="199"/>
      <c r="J19138" s="199"/>
    </row>
    <row r="19139" spans="9:10" x14ac:dyDescent="0.25">
      <c r="I19139" s="199"/>
      <c r="J19139" s="199"/>
    </row>
    <row r="19140" spans="9:10" x14ac:dyDescent="0.25">
      <c r="I19140" s="199"/>
      <c r="J19140" s="199"/>
    </row>
    <row r="19141" spans="9:10" x14ac:dyDescent="0.25">
      <c r="I19141" s="199"/>
      <c r="J19141" s="199"/>
    </row>
    <row r="19142" spans="9:10" x14ac:dyDescent="0.25">
      <c r="I19142" s="199"/>
      <c r="J19142" s="199"/>
    </row>
    <row r="19143" spans="9:10" x14ac:dyDescent="0.25">
      <c r="I19143" s="199"/>
      <c r="J19143" s="199"/>
    </row>
    <row r="19144" spans="9:10" x14ac:dyDescent="0.25">
      <c r="I19144" s="199"/>
      <c r="J19144" s="199"/>
    </row>
    <row r="19145" spans="9:10" x14ac:dyDescent="0.25">
      <c r="I19145" s="199"/>
      <c r="J19145" s="199"/>
    </row>
    <row r="19146" spans="9:10" x14ac:dyDescent="0.25">
      <c r="I19146" s="199"/>
      <c r="J19146" s="199"/>
    </row>
    <row r="19147" spans="9:10" x14ac:dyDescent="0.25">
      <c r="I19147" s="199"/>
      <c r="J19147" s="199"/>
    </row>
    <row r="19148" spans="9:10" x14ac:dyDescent="0.25">
      <c r="I19148" s="199"/>
      <c r="J19148" s="199"/>
    </row>
    <row r="19149" spans="9:10" x14ac:dyDescent="0.25">
      <c r="I19149" s="199"/>
      <c r="J19149" s="199"/>
    </row>
    <row r="19150" spans="9:10" x14ac:dyDescent="0.25">
      <c r="I19150" s="199"/>
      <c r="J19150" s="199"/>
    </row>
    <row r="19151" spans="9:10" x14ac:dyDescent="0.25">
      <c r="I19151" s="199"/>
      <c r="J19151" s="199"/>
    </row>
    <row r="19152" spans="9:10" x14ac:dyDescent="0.25">
      <c r="I19152" s="199"/>
      <c r="J19152" s="199"/>
    </row>
    <row r="19153" spans="9:10" x14ac:dyDescent="0.25">
      <c r="I19153" s="199"/>
      <c r="J19153" s="199"/>
    </row>
    <row r="19154" spans="9:10" x14ac:dyDescent="0.25">
      <c r="I19154" s="199"/>
      <c r="J19154" s="199"/>
    </row>
    <row r="19155" spans="9:10" x14ac:dyDescent="0.25">
      <c r="I19155" s="199"/>
      <c r="J19155" s="199"/>
    </row>
    <row r="19156" spans="9:10" x14ac:dyDescent="0.25">
      <c r="I19156" s="199"/>
      <c r="J19156" s="199"/>
    </row>
    <row r="19157" spans="9:10" x14ac:dyDescent="0.25">
      <c r="I19157" s="199"/>
      <c r="J19157" s="199"/>
    </row>
    <row r="19158" spans="9:10" x14ac:dyDescent="0.25">
      <c r="I19158" s="199"/>
      <c r="J19158" s="199"/>
    </row>
    <row r="19159" spans="9:10" x14ac:dyDescent="0.25">
      <c r="I19159" s="199"/>
      <c r="J19159" s="199"/>
    </row>
    <row r="19160" spans="9:10" x14ac:dyDescent="0.25">
      <c r="I19160" s="199"/>
      <c r="J19160" s="199"/>
    </row>
    <row r="19161" spans="9:10" x14ac:dyDescent="0.25">
      <c r="I19161" s="199"/>
      <c r="J19161" s="199"/>
    </row>
    <row r="19162" spans="9:10" x14ac:dyDescent="0.25">
      <c r="I19162" s="199"/>
      <c r="J19162" s="199"/>
    </row>
    <row r="19163" spans="9:10" x14ac:dyDescent="0.25">
      <c r="I19163" s="199"/>
      <c r="J19163" s="199"/>
    </row>
    <row r="19164" spans="9:10" x14ac:dyDescent="0.25">
      <c r="I19164" s="199"/>
      <c r="J19164" s="199"/>
    </row>
    <row r="19165" spans="9:10" x14ac:dyDescent="0.25">
      <c r="I19165" s="199"/>
      <c r="J19165" s="199"/>
    </row>
    <row r="19166" spans="9:10" x14ac:dyDescent="0.25">
      <c r="I19166" s="199"/>
      <c r="J19166" s="199"/>
    </row>
    <row r="19167" spans="9:10" x14ac:dyDescent="0.25">
      <c r="I19167" s="199"/>
      <c r="J19167" s="199"/>
    </row>
    <row r="19168" spans="9:10" x14ac:dyDescent="0.25">
      <c r="I19168" s="199"/>
      <c r="J19168" s="199"/>
    </row>
    <row r="19169" spans="9:10" x14ac:dyDescent="0.25">
      <c r="I19169" s="199"/>
      <c r="J19169" s="199"/>
    </row>
    <row r="19170" spans="9:10" x14ac:dyDescent="0.25">
      <c r="I19170" s="199"/>
      <c r="J19170" s="199"/>
    </row>
    <row r="19171" spans="9:10" x14ac:dyDescent="0.25">
      <c r="I19171" s="199"/>
      <c r="J19171" s="199"/>
    </row>
    <row r="19172" spans="9:10" x14ac:dyDescent="0.25">
      <c r="I19172" s="199"/>
      <c r="J19172" s="199"/>
    </row>
    <row r="19173" spans="9:10" x14ac:dyDescent="0.25">
      <c r="I19173" s="199"/>
      <c r="J19173" s="199"/>
    </row>
    <row r="19174" spans="9:10" x14ac:dyDescent="0.25">
      <c r="I19174" s="199"/>
      <c r="J19174" s="199"/>
    </row>
    <row r="19175" spans="9:10" x14ac:dyDescent="0.25">
      <c r="I19175" s="199"/>
      <c r="J19175" s="199"/>
    </row>
    <row r="19176" spans="9:10" x14ac:dyDescent="0.25">
      <c r="I19176" s="199"/>
      <c r="J19176" s="199"/>
    </row>
    <row r="19177" spans="9:10" x14ac:dyDescent="0.25">
      <c r="I19177" s="199"/>
      <c r="J19177" s="199"/>
    </row>
    <row r="19178" spans="9:10" x14ac:dyDescent="0.25">
      <c r="I19178" s="199"/>
      <c r="J19178" s="199"/>
    </row>
    <row r="19179" spans="9:10" x14ac:dyDescent="0.25">
      <c r="I19179" s="199"/>
      <c r="J19179" s="199"/>
    </row>
    <row r="19180" spans="9:10" x14ac:dyDescent="0.25">
      <c r="I19180" s="199"/>
      <c r="J19180" s="199"/>
    </row>
    <row r="19181" spans="9:10" x14ac:dyDescent="0.25">
      <c r="I19181" s="199"/>
      <c r="J19181" s="199"/>
    </row>
    <row r="19182" spans="9:10" x14ac:dyDescent="0.25">
      <c r="I19182" s="199"/>
      <c r="J19182" s="199"/>
    </row>
    <row r="19183" spans="9:10" x14ac:dyDescent="0.25">
      <c r="I19183" s="199"/>
      <c r="J19183" s="199"/>
    </row>
    <row r="19184" spans="9:10" x14ac:dyDescent="0.25">
      <c r="I19184" s="199"/>
      <c r="J19184" s="199"/>
    </row>
    <row r="19185" spans="9:10" x14ac:dyDescent="0.25">
      <c r="I19185" s="199"/>
      <c r="J19185" s="199"/>
    </row>
    <row r="19186" spans="9:10" x14ac:dyDescent="0.25">
      <c r="I19186" s="199"/>
      <c r="J19186" s="199"/>
    </row>
    <row r="19187" spans="9:10" x14ac:dyDescent="0.25">
      <c r="I19187" s="199"/>
      <c r="J19187" s="199"/>
    </row>
    <row r="19188" spans="9:10" x14ac:dyDescent="0.25">
      <c r="I19188" s="199"/>
      <c r="J19188" s="199"/>
    </row>
    <row r="19189" spans="9:10" x14ac:dyDescent="0.25">
      <c r="I19189" s="199"/>
      <c r="J19189" s="199"/>
    </row>
    <row r="19190" spans="9:10" x14ac:dyDescent="0.25">
      <c r="I19190" s="199"/>
      <c r="J19190" s="199"/>
    </row>
    <row r="19191" spans="9:10" x14ac:dyDescent="0.25">
      <c r="I19191" s="199"/>
      <c r="J19191" s="199"/>
    </row>
    <row r="19192" spans="9:10" x14ac:dyDescent="0.25">
      <c r="I19192" s="199"/>
      <c r="J19192" s="199"/>
    </row>
    <row r="19193" spans="9:10" x14ac:dyDescent="0.25">
      <c r="I19193" s="199"/>
      <c r="J19193" s="199"/>
    </row>
    <row r="19194" spans="9:10" x14ac:dyDescent="0.25">
      <c r="I19194" s="199"/>
      <c r="J19194" s="199"/>
    </row>
    <row r="19195" spans="9:10" x14ac:dyDescent="0.25">
      <c r="I19195" s="199"/>
      <c r="J19195" s="199"/>
    </row>
    <row r="19196" spans="9:10" x14ac:dyDescent="0.25">
      <c r="I19196" s="199"/>
      <c r="J19196" s="199"/>
    </row>
    <row r="19197" spans="9:10" x14ac:dyDescent="0.25">
      <c r="I19197" s="199"/>
      <c r="J19197" s="199"/>
    </row>
    <row r="19198" spans="9:10" x14ac:dyDescent="0.25">
      <c r="I19198" s="199"/>
      <c r="J19198" s="199"/>
    </row>
    <row r="19199" spans="9:10" x14ac:dyDescent="0.25">
      <c r="I19199" s="199"/>
      <c r="J19199" s="199"/>
    </row>
    <row r="19200" spans="9:10" x14ac:dyDescent="0.25">
      <c r="I19200" s="199"/>
      <c r="J19200" s="199"/>
    </row>
    <row r="19201" spans="9:10" x14ac:dyDescent="0.25">
      <c r="I19201" s="199"/>
      <c r="J19201" s="199"/>
    </row>
    <row r="19202" spans="9:10" x14ac:dyDescent="0.25">
      <c r="I19202" s="199"/>
      <c r="J19202" s="199"/>
    </row>
    <row r="19203" spans="9:10" x14ac:dyDescent="0.25">
      <c r="I19203" s="199"/>
      <c r="J19203" s="199"/>
    </row>
    <row r="19204" spans="9:10" x14ac:dyDescent="0.25">
      <c r="I19204" s="199"/>
      <c r="J19204" s="199"/>
    </row>
    <row r="19205" spans="9:10" x14ac:dyDescent="0.25">
      <c r="I19205" s="199"/>
      <c r="J19205" s="199"/>
    </row>
    <row r="19206" spans="9:10" x14ac:dyDescent="0.25">
      <c r="I19206" s="199"/>
      <c r="J19206" s="199"/>
    </row>
    <row r="19207" spans="9:10" x14ac:dyDescent="0.25">
      <c r="I19207" s="199"/>
      <c r="J19207" s="199"/>
    </row>
    <row r="19208" spans="9:10" x14ac:dyDescent="0.25">
      <c r="I19208" s="199"/>
      <c r="J19208" s="199"/>
    </row>
    <row r="19209" spans="9:10" x14ac:dyDescent="0.25">
      <c r="I19209" s="199"/>
      <c r="J19209" s="199"/>
    </row>
    <row r="19210" spans="9:10" x14ac:dyDescent="0.25">
      <c r="I19210" s="199"/>
      <c r="J19210" s="199"/>
    </row>
    <row r="19211" spans="9:10" x14ac:dyDescent="0.25">
      <c r="I19211" s="199"/>
      <c r="J19211" s="199"/>
    </row>
    <row r="19212" spans="9:10" x14ac:dyDescent="0.25">
      <c r="I19212" s="199"/>
      <c r="J19212" s="199"/>
    </row>
    <row r="19213" spans="9:10" x14ac:dyDescent="0.25">
      <c r="I19213" s="199"/>
      <c r="J19213" s="199"/>
    </row>
    <row r="19214" spans="9:10" x14ac:dyDescent="0.25">
      <c r="I19214" s="199"/>
      <c r="J19214" s="199"/>
    </row>
    <row r="19215" spans="9:10" x14ac:dyDescent="0.25">
      <c r="I19215" s="199"/>
      <c r="J19215" s="199"/>
    </row>
    <row r="19216" spans="9:10" x14ac:dyDescent="0.25">
      <c r="I19216" s="199"/>
      <c r="J19216" s="199"/>
    </row>
    <row r="19217" spans="9:10" x14ac:dyDescent="0.25">
      <c r="I19217" s="199"/>
      <c r="J19217" s="199"/>
    </row>
    <row r="19218" spans="9:10" x14ac:dyDescent="0.25">
      <c r="I19218" s="199"/>
      <c r="J19218" s="199"/>
    </row>
    <row r="19219" spans="9:10" x14ac:dyDescent="0.25">
      <c r="I19219" s="199"/>
      <c r="J19219" s="199"/>
    </row>
    <row r="19220" spans="9:10" x14ac:dyDescent="0.25">
      <c r="I19220" s="199"/>
      <c r="J19220" s="199"/>
    </row>
    <row r="19221" spans="9:10" x14ac:dyDescent="0.25">
      <c r="I19221" s="199"/>
      <c r="J19221" s="199"/>
    </row>
    <row r="19222" spans="9:10" x14ac:dyDescent="0.25">
      <c r="I19222" s="199"/>
      <c r="J19222" s="199"/>
    </row>
    <row r="19223" spans="9:10" x14ac:dyDescent="0.25">
      <c r="I19223" s="199"/>
      <c r="J19223" s="199"/>
    </row>
    <row r="19224" spans="9:10" x14ac:dyDescent="0.25">
      <c r="I19224" s="199"/>
      <c r="J19224" s="199"/>
    </row>
    <row r="19225" spans="9:10" x14ac:dyDescent="0.25">
      <c r="I19225" s="199"/>
      <c r="J19225" s="199"/>
    </row>
    <row r="19226" spans="9:10" x14ac:dyDescent="0.25">
      <c r="I19226" s="199"/>
      <c r="J19226" s="199"/>
    </row>
    <row r="19227" spans="9:10" x14ac:dyDescent="0.25">
      <c r="I19227" s="199"/>
      <c r="J19227" s="199"/>
    </row>
    <row r="19228" spans="9:10" x14ac:dyDescent="0.25">
      <c r="I19228" s="199"/>
      <c r="J19228" s="199"/>
    </row>
    <row r="19229" spans="9:10" x14ac:dyDescent="0.25">
      <c r="I19229" s="199"/>
      <c r="J19229" s="199"/>
    </row>
    <row r="19230" spans="9:10" x14ac:dyDescent="0.25">
      <c r="I19230" s="199"/>
      <c r="J19230" s="199"/>
    </row>
    <row r="19231" spans="9:10" x14ac:dyDescent="0.25">
      <c r="I19231" s="199"/>
      <c r="J19231" s="199"/>
    </row>
    <row r="19232" spans="9:10" x14ac:dyDescent="0.25">
      <c r="I19232" s="199"/>
      <c r="J19232" s="199"/>
    </row>
    <row r="19233" spans="9:10" x14ac:dyDescent="0.25">
      <c r="I19233" s="199"/>
      <c r="J19233" s="199"/>
    </row>
    <row r="19234" spans="9:10" x14ac:dyDescent="0.25">
      <c r="I19234" s="199"/>
      <c r="J19234" s="199"/>
    </row>
    <row r="19235" spans="9:10" x14ac:dyDescent="0.25">
      <c r="I19235" s="199"/>
      <c r="J19235" s="199"/>
    </row>
    <row r="19236" spans="9:10" x14ac:dyDescent="0.25">
      <c r="I19236" s="199"/>
      <c r="J19236" s="199"/>
    </row>
    <row r="19237" spans="9:10" x14ac:dyDescent="0.25">
      <c r="I19237" s="199"/>
      <c r="J19237" s="199"/>
    </row>
    <row r="19238" spans="9:10" x14ac:dyDescent="0.25">
      <c r="I19238" s="199"/>
      <c r="J19238" s="199"/>
    </row>
    <row r="19239" spans="9:10" x14ac:dyDescent="0.25">
      <c r="I19239" s="199"/>
      <c r="J19239" s="199"/>
    </row>
    <row r="19240" spans="9:10" x14ac:dyDescent="0.25">
      <c r="I19240" s="199"/>
      <c r="J19240" s="199"/>
    </row>
    <row r="19241" spans="9:10" x14ac:dyDescent="0.25">
      <c r="I19241" s="199"/>
      <c r="J19241" s="199"/>
    </row>
    <row r="19242" spans="9:10" x14ac:dyDescent="0.25">
      <c r="I19242" s="199"/>
      <c r="J19242" s="199"/>
    </row>
    <row r="19243" spans="9:10" x14ac:dyDescent="0.25">
      <c r="I19243" s="199"/>
      <c r="J19243" s="199"/>
    </row>
    <row r="19244" spans="9:10" x14ac:dyDescent="0.25">
      <c r="I19244" s="199"/>
      <c r="J19244" s="199"/>
    </row>
    <row r="19245" spans="9:10" x14ac:dyDescent="0.25">
      <c r="I19245" s="199"/>
      <c r="J19245" s="199"/>
    </row>
    <row r="19246" spans="9:10" x14ac:dyDescent="0.25">
      <c r="I19246" s="199"/>
      <c r="J19246" s="199"/>
    </row>
    <row r="19247" spans="9:10" x14ac:dyDescent="0.25">
      <c r="I19247" s="199"/>
      <c r="J19247" s="199"/>
    </row>
    <row r="19248" spans="9:10" x14ac:dyDescent="0.25">
      <c r="I19248" s="199"/>
      <c r="J19248" s="199"/>
    </row>
    <row r="19249" spans="9:10" x14ac:dyDescent="0.25">
      <c r="I19249" s="199"/>
      <c r="J19249" s="199"/>
    </row>
    <row r="19250" spans="9:10" x14ac:dyDescent="0.25">
      <c r="I19250" s="199"/>
      <c r="J19250" s="199"/>
    </row>
    <row r="19251" spans="9:10" x14ac:dyDescent="0.25">
      <c r="I19251" s="199"/>
      <c r="J19251" s="199"/>
    </row>
    <row r="19252" spans="9:10" x14ac:dyDescent="0.25">
      <c r="I19252" s="199"/>
      <c r="J19252" s="199"/>
    </row>
    <row r="19253" spans="9:10" x14ac:dyDescent="0.25">
      <c r="I19253" s="199"/>
      <c r="J19253" s="199"/>
    </row>
    <row r="19254" spans="9:10" x14ac:dyDescent="0.25">
      <c r="I19254" s="199"/>
      <c r="J19254" s="199"/>
    </row>
    <row r="19255" spans="9:10" x14ac:dyDescent="0.25">
      <c r="I19255" s="199"/>
      <c r="J19255" s="199"/>
    </row>
    <row r="19256" spans="9:10" x14ac:dyDescent="0.25">
      <c r="I19256" s="199"/>
      <c r="J19256" s="199"/>
    </row>
    <row r="19257" spans="9:10" x14ac:dyDescent="0.25">
      <c r="I19257" s="199"/>
      <c r="J19257" s="199"/>
    </row>
    <row r="19258" spans="9:10" x14ac:dyDescent="0.25">
      <c r="I19258" s="199"/>
      <c r="J19258" s="199"/>
    </row>
    <row r="19259" spans="9:10" x14ac:dyDescent="0.25">
      <c r="I19259" s="199"/>
      <c r="J19259" s="199"/>
    </row>
    <row r="19260" spans="9:10" x14ac:dyDescent="0.25">
      <c r="I19260" s="199"/>
      <c r="J19260" s="199"/>
    </row>
    <row r="19261" spans="9:10" x14ac:dyDescent="0.25">
      <c r="I19261" s="199"/>
      <c r="J19261" s="199"/>
    </row>
    <row r="19262" spans="9:10" x14ac:dyDescent="0.25">
      <c r="I19262" s="199"/>
      <c r="J19262" s="199"/>
    </row>
    <row r="19263" spans="9:10" x14ac:dyDescent="0.25">
      <c r="I19263" s="199"/>
      <c r="J19263" s="199"/>
    </row>
    <row r="19264" spans="9:10" x14ac:dyDescent="0.25">
      <c r="I19264" s="199"/>
      <c r="J19264" s="199"/>
    </row>
    <row r="19265" spans="9:10" x14ac:dyDescent="0.25">
      <c r="I19265" s="199"/>
      <c r="J19265" s="199"/>
    </row>
    <row r="19266" spans="9:10" x14ac:dyDescent="0.25">
      <c r="I19266" s="199"/>
      <c r="J19266" s="199"/>
    </row>
    <row r="19267" spans="9:10" x14ac:dyDescent="0.25">
      <c r="I19267" s="199"/>
      <c r="J19267" s="199"/>
    </row>
    <row r="19268" spans="9:10" x14ac:dyDescent="0.25">
      <c r="I19268" s="199"/>
      <c r="J19268" s="199"/>
    </row>
    <row r="19269" spans="9:10" x14ac:dyDescent="0.25">
      <c r="I19269" s="199"/>
      <c r="J19269" s="199"/>
    </row>
    <row r="19270" spans="9:10" x14ac:dyDescent="0.25">
      <c r="I19270" s="199"/>
      <c r="J19270" s="199"/>
    </row>
    <row r="19271" spans="9:10" x14ac:dyDescent="0.25">
      <c r="I19271" s="199"/>
      <c r="J19271" s="199"/>
    </row>
    <row r="19272" spans="9:10" x14ac:dyDescent="0.25">
      <c r="I19272" s="199"/>
      <c r="J19272" s="199"/>
    </row>
    <row r="19273" spans="9:10" x14ac:dyDescent="0.25">
      <c r="I19273" s="199"/>
      <c r="J19273" s="199"/>
    </row>
    <row r="19274" spans="9:10" x14ac:dyDescent="0.25">
      <c r="I19274" s="199"/>
      <c r="J19274" s="199"/>
    </row>
    <row r="19275" spans="9:10" x14ac:dyDescent="0.25">
      <c r="I19275" s="199"/>
      <c r="J19275" s="199"/>
    </row>
    <row r="19276" spans="9:10" x14ac:dyDescent="0.25">
      <c r="I19276" s="199"/>
      <c r="J19276" s="199"/>
    </row>
    <row r="19277" spans="9:10" x14ac:dyDescent="0.25">
      <c r="I19277" s="199"/>
      <c r="J19277" s="199"/>
    </row>
    <row r="19278" spans="9:10" x14ac:dyDescent="0.25">
      <c r="I19278" s="199"/>
      <c r="J19278" s="199"/>
    </row>
    <row r="19279" spans="9:10" x14ac:dyDescent="0.25">
      <c r="I19279" s="199"/>
      <c r="J19279" s="199"/>
    </row>
    <row r="19280" spans="9:10" x14ac:dyDescent="0.25">
      <c r="I19280" s="199"/>
      <c r="J19280" s="199"/>
    </row>
    <row r="19281" spans="9:10" x14ac:dyDescent="0.25">
      <c r="I19281" s="199"/>
      <c r="J19281" s="199"/>
    </row>
    <row r="19282" spans="9:10" x14ac:dyDescent="0.25">
      <c r="I19282" s="199"/>
      <c r="J19282" s="199"/>
    </row>
    <row r="19283" spans="9:10" x14ac:dyDescent="0.25">
      <c r="I19283" s="199"/>
      <c r="J19283" s="199"/>
    </row>
    <row r="19284" spans="9:10" x14ac:dyDescent="0.25">
      <c r="I19284" s="199"/>
      <c r="J19284" s="199"/>
    </row>
    <row r="19285" spans="9:10" x14ac:dyDescent="0.25">
      <c r="I19285" s="199"/>
      <c r="J19285" s="199"/>
    </row>
    <row r="19286" spans="9:10" x14ac:dyDescent="0.25">
      <c r="I19286" s="199"/>
      <c r="J19286" s="199"/>
    </row>
    <row r="19287" spans="9:10" x14ac:dyDescent="0.25">
      <c r="I19287" s="199"/>
      <c r="J19287" s="199"/>
    </row>
    <row r="19288" spans="9:10" x14ac:dyDescent="0.25">
      <c r="I19288" s="199"/>
      <c r="J19288" s="199"/>
    </row>
    <row r="19289" spans="9:10" x14ac:dyDescent="0.25">
      <c r="I19289" s="199"/>
      <c r="J19289" s="199"/>
    </row>
    <row r="19290" spans="9:10" x14ac:dyDescent="0.25">
      <c r="I19290" s="199"/>
      <c r="J19290" s="199"/>
    </row>
    <row r="19291" spans="9:10" x14ac:dyDescent="0.25">
      <c r="I19291" s="199"/>
      <c r="J19291" s="199"/>
    </row>
    <row r="19292" spans="9:10" x14ac:dyDescent="0.25">
      <c r="I19292" s="199"/>
      <c r="J19292" s="199"/>
    </row>
    <row r="19293" spans="9:10" x14ac:dyDescent="0.25">
      <c r="I19293" s="199"/>
      <c r="J19293" s="199"/>
    </row>
    <row r="19294" spans="9:10" x14ac:dyDescent="0.25">
      <c r="I19294" s="199"/>
      <c r="J19294" s="199"/>
    </row>
    <row r="19295" spans="9:10" x14ac:dyDescent="0.25">
      <c r="I19295" s="199"/>
      <c r="J19295" s="199"/>
    </row>
    <row r="19296" spans="9:10" x14ac:dyDescent="0.25">
      <c r="I19296" s="199"/>
      <c r="J19296" s="199"/>
    </row>
    <row r="19297" spans="9:10" x14ac:dyDescent="0.25">
      <c r="I19297" s="199"/>
      <c r="J19297" s="199"/>
    </row>
    <row r="19298" spans="9:10" x14ac:dyDescent="0.25">
      <c r="I19298" s="199"/>
      <c r="J19298" s="199"/>
    </row>
    <row r="19299" spans="9:10" x14ac:dyDescent="0.25">
      <c r="I19299" s="199"/>
      <c r="J19299" s="199"/>
    </row>
    <row r="19300" spans="9:10" x14ac:dyDescent="0.25">
      <c r="I19300" s="199"/>
      <c r="J19300" s="199"/>
    </row>
    <row r="19301" spans="9:10" x14ac:dyDescent="0.25">
      <c r="I19301" s="199"/>
      <c r="J19301" s="199"/>
    </row>
    <row r="19302" spans="9:10" x14ac:dyDescent="0.25">
      <c r="I19302" s="199"/>
      <c r="J19302" s="199"/>
    </row>
    <row r="19303" spans="9:10" x14ac:dyDescent="0.25">
      <c r="I19303" s="199"/>
      <c r="J19303" s="199"/>
    </row>
    <row r="19304" spans="9:10" x14ac:dyDescent="0.25">
      <c r="I19304" s="199"/>
      <c r="J19304" s="199"/>
    </row>
    <row r="19305" spans="9:10" x14ac:dyDescent="0.25">
      <c r="I19305" s="199"/>
      <c r="J19305" s="199"/>
    </row>
    <row r="19306" spans="9:10" x14ac:dyDescent="0.25">
      <c r="I19306" s="199"/>
      <c r="J19306" s="199"/>
    </row>
    <row r="19307" spans="9:10" x14ac:dyDescent="0.25">
      <c r="I19307" s="199"/>
      <c r="J19307" s="199"/>
    </row>
    <row r="19308" spans="9:10" x14ac:dyDescent="0.25">
      <c r="I19308" s="199"/>
      <c r="J19308" s="199"/>
    </row>
    <row r="19309" spans="9:10" x14ac:dyDescent="0.25">
      <c r="I19309" s="199"/>
      <c r="J19309" s="199"/>
    </row>
    <row r="19310" spans="9:10" x14ac:dyDescent="0.25">
      <c r="I19310" s="199"/>
      <c r="J19310" s="199"/>
    </row>
    <row r="19311" spans="9:10" x14ac:dyDescent="0.25">
      <c r="I19311" s="199"/>
      <c r="J19311" s="199"/>
    </row>
    <row r="19312" spans="9:10" x14ac:dyDescent="0.25">
      <c r="I19312" s="199"/>
      <c r="J19312" s="199"/>
    </row>
    <row r="19313" spans="9:10" x14ac:dyDescent="0.25">
      <c r="I19313" s="199"/>
      <c r="J19313" s="199"/>
    </row>
    <row r="19314" spans="9:10" x14ac:dyDescent="0.25">
      <c r="I19314" s="199"/>
      <c r="J19314" s="199"/>
    </row>
    <row r="19315" spans="9:10" x14ac:dyDescent="0.25">
      <c r="I19315" s="199"/>
      <c r="J19315" s="199"/>
    </row>
    <row r="19316" spans="9:10" x14ac:dyDescent="0.25">
      <c r="I19316" s="199"/>
      <c r="J19316" s="199"/>
    </row>
    <row r="19317" spans="9:10" x14ac:dyDescent="0.25">
      <c r="I19317" s="199"/>
      <c r="J19317" s="199"/>
    </row>
    <row r="19318" spans="9:10" x14ac:dyDescent="0.25">
      <c r="I19318" s="199"/>
      <c r="J19318" s="199"/>
    </row>
    <row r="19319" spans="9:10" x14ac:dyDescent="0.25">
      <c r="I19319" s="199"/>
      <c r="J19319" s="199"/>
    </row>
    <row r="19320" spans="9:10" x14ac:dyDescent="0.25">
      <c r="I19320" s="199"/>
      <c r="J19320" s="199"/>
    </row>
    <row r="19321" spans="9:10" x14ac:dyDescent="0.25">
      <c r="I19321" s="199"/>
      <c r="J19321" s="199"/>
    </row>
    <row r="19322" spans="9:10" x14ac:dyDescent="0.25">
      <c r="I19322" s="199"/>
      <c r="J19322" s="199"/>
    </row>
    <row r="19323" spans="9:10" x14ac:dyDescent="0.25">
      <c r="I19323" s="199"/>
      <c r="J19323" s="199"/>
    </row>
    <row r="19324" spans="9:10" x14ac:dyDescent="0.25">
      <c r="I19324" s="199"/>
      <c r="J19324" s="199"/>
    </row>
    <row r="19325" spans="9:10" x14ac:dyDescent="0.25">
      <c r="I19325" s="199"/>
      <c r="J19325" s="199"/>
    </row>
    <row r="19326" spans="9:10" x14ac:dyDescent="0.25">
      <c r="I19326" s="199"/>
      <c r="J19326" s="199"/>
    </row>
    <row r="19327" spans="9:10" x14ac:dyDescent="0.25">
      <c r="I19327" s="199"/>
      <c r="J19327" s="199"/>
    </row>
    <row r="19328" spans="9:10" x14ac:dyDescent="0.25">
      <c r="I19328" s="199"/>
      <c r="J19328" s="199"/>
    </row>
    <row r="19329" spans="9:10" x14ac:dyDescent="0.25">
      <c r="I19329" s="199"/>
      <c r="J19329" s="199"/>
    </row>
    <row r="19330" spans="9:10" x14ac:dyDescent="0.25">
      <c r="I19330" s="199"/>
      <c r="J19330" s="199"/>
    </row>
    <row r="19331" spans="9:10" x14ac:dyDescent="0.25">
      <c r="I19331" s="199"/>
      <c r="J19331" s="199"/>
    </row>
    <row r="19332" spans="9:10" x14ac:dyDescent="0.25">
      <c r="I19332" s="199"/>
      <c r="J19332" s="199"/>
    </row>
    <row r="19333" spans="9:10" x14ac:dyDescent="0.25">
      <c r="I19333" s="199"/>
      <c r="J19333" s="199"/>
    </row>
    <row r="19334" spans="9:10" x14ac:dyDescent="0.25">
      <c r="I19334" s="199"/>
      <c r="J19334" s="199"/>
    </row>
    <row r="19335" spans="9:10" x14ac:dyDescent="0.25">
      <c r="I19335" s="199"/>
      <c r="J19335" s="199"/>
    </row>
    <row r="19336" spans="9:10" x14ac:dyDescent="0.25">
      <c r="I19336" s="199"/>
      <c r="J19336" s="199"/>
    </row>
    <row r="19337" spans="9:10" x14ac:dyDescent="0.25">
      <c r="I19337" s="199"/>
      <c r="J19337" s="199"/>
    </row>
    <row r="19338" spans="9:10" x14ac:dyDescent="0.25">
      <c r="I19338" s="199"/>
      <c r="J19338" s="199"/>
    </row>
    <row r="19339" spans="9:10" x14ac:dyDescent="0.25">
      <c r="I19339" s="199"/>
      <c r="J19339" s="199"/>
    </row>
    <row r="19340" spans="9:10" x14ac:dyDescent="0.25">
      <c r="I19340" s="199"/>
      <c r="J19340" s="199"/>
    </row>
    <row r="19341" spans="9:10" x14ac:dyDescent="0.25">
      <c r="I19341" s="199"/>
      <c r="J19341" s="199"/>
    </row>
    <row r="19342" spans="9:10" x14ac:dyDescent="0.25">
      <c r="I19342" s="199"/>
      <c r="J19342" s="199"/>
    </row>
    <row r="19343" spans="9:10" x14ac:dyDescent="0.25">
      <c r="I19343" s="199"/>
      <c r="J19343" s="199"/>
    </row>
    <row r="19344" spans="9:10" x14ac:dyDescent="0.25">
      <c r="I19344" s="199"/>
      <c r="J19344" s="199"/>
    </row>
    <row r="19345" spans="9:10" x14ac:dyDescent="0.25">
      <c r="I19345" s="199"/>
      <c r="J19345" s="199"/>
    </row>
    <row r="19346" spans="9:10" x14ac:dyDescent="0.25">
      <c r="I19346" s="199"/>
      <c r="J19346" s="199"/>
    </row>
    <row r="19347" spans="9:10" x14ac:dyDescent="0.25">
      <c r="I19347" s="199"/>
      <c r="J19347" s="199"/>
    </row>
    <row r="19348" spans="9:10" x14ac:dyDescent="0.25">
      <c r="I19348" s="199"/>
      <c r="J19348" s="199"/>
    </row>
    <row r="19349" spans="9:10" x14ac:dyDescent="0.25">
      <c r="I19349" s="199"/>
      <c r="J19349" s="199"/>
    </row>
    <row r="19350" spans="9:10" x14ac:dyDescent="0.25">
      <c r="I19350" s="199"/>
      <c r="J19350" s="199"/>
    </row>
    <row r="19351" spans="9:10" x14ac:dyDescent="0.25">
      <c r="I19351" s="199"/>
      <c r="J19351" s="199"/>
    </row>
    <row r="19352" spans="9:10" x14ac:dyDescent="0.25">
      <c r="I19352" s="199"/>
      <c r="J19352" s="199"/>
    </row>
    <row r="19353" spans="9:10" x14ac:dyDescent="0.25">
      <c r="I19353" s="199"/>
      <c r="J19353" s="199"/>
    </row>
    <row r="19354" spans="9:10" x14ac:dyDescent="0.25">
      <c r="I19354" s="199"/>
      <c r="J19354" s="199"/>
    </row>
    <row r="19355" spans="9:10" x14ac:dyDescent="0.25">
      <c r="I19355" s="199"/>
      <c r="J19355" s="199"/>
    </row>
    <row r="19356" spans="9:10" x14ac:dyDescent="0.25">
      <c r="I19356" s="199"/>
      <c r="J19356" s="199"/>
    </row>
    <row r="19357" spans="9:10" x14ac:dyDescent="0.25">
      <c r="I19357" s="199"/>
      <c r="J19357" s="199"/>
    </row>
    <row r="19358" spans="9:10" x14ac:dyDescent="0.25">
      <c r="I19358" s="199"/>
      <c r="J19358" s="199"/>
    </row>
    <row r="19359" spans="9:10" x14ac:dyDescent="0.25">
      <c r="I19359" s="199"/>
      <c r="J19359" s="199"/>
    </row>
    <row r="19360" spans="9:10" x14ac:dyDescent="0.25">
      <c r="I19360" s="199"/>
      <c r="J19360" s="199"/>
    </row>
    <row r="19361" spans="9:10" x14ac:dyDescent="0.25">
      <c r="I19361" s="199"/>
      <c r="J19361" s="199"/>
    </row>
    <row r="19362" spans="9:10" x14ac:dyDescent="0.25">
      <c r="I19362" s="199"/>
      <c r="J19362" s="199"/>
    </row>
    <row r="19363" spans="9:10" x14ac:dyDescent="0.25">
      <c r="I19363" s="199"/>
      <c r="J19363" s="199"/>
    </row>
    <row r="19364" spans="9:10" x14ac:dyDescent="0.25">
      <c r="I19364" s="199"/>
      <c r="J19364" s="199"/>
    </row>
    <row r="19365" spans="9:10" x14ac:dyDescent="0.25">
      <c r="I19365" s="199"/>
      <c r="J19365" s="199"/>
    </row>
    <row r="19366" spans="9:10" x14ac:dyDescent="0.25">
      <c r="I19366" s="199"/>
      <c r="J19366" s="199"/>
    </row>
    <row r="19367" spans="9:10" x14ac:dyDescent="0.25">
      <c r="I19367" s="199"/>
      <c r="J19367" s="199"/>
    </row>
    <row r="19368" spans="9:10" x14ac:dyDescent="0.25">
      <c r="I19368" s="199"/>
      <c r="J19368" s="199"/>
    </row>
    <row r="19369" spans="9:10" x14ac:dyDescent="0.25">
      <c r="I19369" s="199"/>
      <c r="J19369" s="199"/>
    </row>
    <row r="19370" spans="9:10" x14ac:dyDescent="0.25">
      <c r="I19370" s="199"/>
      <c r="J19370" s="199"/>
    </row>
    <row r="19371" spans="9:10" x14ac:dyDescent="0.25">
      <c r="I19371" s="199"/>
      <c r="J19371" s="199"/>
    </row>
    <row r="19372" spans="9:10" x14ac:dyDescent="0.25">
      <c r="I19372" s="199"/>
      <c r="J19372" s="199"/>
    </row>
    <row r="19373" spans="9:10" x14ac:dyDescent="0.25">
      <c r="I19373" s="199"/>
      <c r="J19373" s="199"/>
    </row>
    <row r="19374" spans="9:10" x14ac:dyDescent="0.25">
      <c r="I19374" s="199"/>
      <c r="J19374" s="199"/>
    </row>
    <row r="19375" spans="9:10" x14ac:dyDescent="0.25">
      <c r="I19375" s="199"/>
      <c r="J19375" s="199"/>
    </row>
    <row r="19376" spans="9:10" x14ac:dyDescent="0.25">
      <c r="I19376" s="199"/>
      <c r="J19376" s="199"/>
    </row>
    <row r="19377" spans="9:10" x14ac:dyDescent="0.25">
      <c r="I19377" s="199"/>
      <c r="J19377" s="199"/>
    </row>
    <row r="19378" spans="9:10" x14ac:dyDescent="0.25">
      <c r="I19378" s="199"/>
      <c r="J19378" s="199"/>
    </row>
    <row r="19379" spans="9:10" x14ac:dyDescent="0.25">
      <c r="I19379" s="199"/>
      <c r="J19379" s="199"/>
    </row>
    <row r="19380" spans="9:10" x14ac:dyDescent="0.25">
      <c r="I19380" s="199"/>
      <c r="J19380" s="199"/>
    </row>
    <row r="19381" spans="9:10" x14ac:dyDescent="0.25">
      <c r="I19381" s="199"/>
      <c r="J19381" s="199"/>
    </row>
    <row r="19382" spans="9:10" x14ac:dyDescent="0.25">
      <c r="I19382" s="199"/>
      <c r="J19382" s="199"/>
    </row>
    <row r="19383" spans="9:10" x14ac:dyDescent="0.25">
      <c r="I19383" s="199"/>
      <c r="J19383" s="199"/>
    </row>
    <row r="19384" spans="9:10" x14ac:dyDescent="0.25">
      <c r="I19384" s="199"/>
      <c r="J19384" s="199"/>
    </row>
    <row r="19385" spans="9:10" x14ac:dyDescent="0.25">
      <c r="I19385" s="199"/>
      <c r="J19385" s="199"/>
    </row>
    <row r="19386" spans="9:10" x14ac:dyDescent="0.25">
      <c r="I19386" s="199"/>
      <c r="J19386" s="199"/>
    </row>
    <row r="19387" spans="9:10" x14ac:dyDescent="0.25">
      <c r="I19387" s="199"/>
      <c r="J19387" s="199"/>
    </row>
    <row r="19388" spans="9:10" x14ac:dyDescent="0.25">
      <c r="I19388" s="199"/>
      <c r="J19388" s="199"/>
    </row>
    <row r="19389" spans="9:10" x14ac:dyDescent="0.25">
      <c r="I19389" s="199"/>
      <c r="J19389" s="199"/>
    </row>
    <row r="19390" spans="9:10" x14ac:dyDescent="0.25">
      <c r="I19390" s="199"/>
      <c r="J19390" s="199"/>
    </row>
    <row r="19391" spans="9:10" x14ac:dyDescent="0.25">
      <c r="I19391" s="199"/>
      <c r="J19391" s="199"/>
    </row>
    <row r="19392" spans="9:10" x14ac:dyDescent="0.25">
      <c r="I19392" s="199"/>
      <c r="J19392" s="199"/>
    </row>
    <row r="19393" spans="9:10" x14ac:dyDescent="0.25">
      <c r="I19393" s="199"/>
      <c r="J19393" s="199"/>
    </row>
    <row r="19394" spans="9:10" x14ac:dyDescent="0.25">
      <c r="I19394" s="199"/>
      <c r="J19394" s="199"/>
    </row>
    <row r="19395" spans="9:10" x14ac:dyDescent="0.25">
      <c r="I19395" s="199"/>
      <c r="J19395" s="199"/>
    </row>
    <row r="19396" spans="9:10" x14ac:dyDescent="0.25">
      <c r="I19396" s="199"/>
      <c r="J19396" s="199"/>
    </row>
    <row r="19397" spans="9:10" x14ac:dyDescent="0.25">
      <c r="I19397" s="199"/>
      <c r="J19397" s="199"/>
    </row>
    <row r="19398" spans="9:10" x14ac:dyDescent="0.25">
      <c r="I19398" s="199"/>
      <c r="J19398" s="199"/>
    </row>
    <row r="19399" spans="9:10" x14ac:dyDescent="0.25">
      <c r="I19399" s="199"/>
      <c r="J19399" s="199"/>
    </row>
    <row r="19400" spans="9:10" x14ac:dyDescent="0.25">
      <c r="I19400" s="199"/>
      <c r="J19400" s="199"/>
    </row>
    <row r="19401" spans="9:10" x14ac:dyDescent="0.25">
      <c r="I19401" s="199"/>
      <c r="J19401" s="199"/>
    </row>
    <row r="19402" spans="9:10" x14ac:dyDescent="0.25">
      <c r="I19402" s="199"/>
      <c r="J19402" s="199"/>
    </row>
    <row r="19403" spans="9:10" x14ac:dyDescent="0.25">
      <c r="I19403" s="199"/>
      <c r="J19403" s="199"/>
    </row>
    <row r="19404" spans="9:10" x14ac:dyDescent="0.25">
      <c r="I19404" s="199"/>
      <c r="J19404" s="199"/>
    </row>
    <row r="19405" spans="9:10" x14ac:dyDescent="0.25">
      <c r="I19405" s="199"/>
      <c r="J19405" s="199"/>
    </row>
    <row r="19406" spans="9:10" x14ac:dyDescent="0.25">
      <c r="I19406" s="199"/>
      <c r="J19406" s="199"/>
    </row>
    <row r="19407" spans="9:10" x14ac:dyDescent="0.25">
      <c r="I19407" s="199"/>
      <c r="J19407" s="199"/>
    </row>
    <row r="19408" spans="9:10" x14ac:dyDescent="0.25">
      <c r="I19408" s="199"/>
      <c r="J19408" s="199"/>
    </row>
    <row r="19409" spans="9:10" x14ac:dyDescent="0.25">
      <c r="I19409" s="199"/>
      <c r="J19409" s="199"/>
    </row>
    <row r="19410" spans="9:10" x14ac:dyDescent="0.25">
      <c r="I19410" s="199"/>
      <c r="J19410" s="199"/>
    </row>
    <row r="19411" spans="9:10" x14ac:dyDescent="0.25">
      <c r="I19411" s="199"/>
      <c r="J19411" s="199"/>
    </row>
    <row r="19412" spans="9:10" x14ac:dyDescent="0.25">
      <c r="I19412" s="199"/>
      <c r="J19412" s="199"/>
    </row>
    <row r="19413" spans="9:10" x14ac:dyDescent="0.25">
      <c r="I19413" s="199"/>
      <c r="J19413" s="199"/>
    </row>
    <row r="19414" spans="9:10" x14ac:dyDescent="0.25">
      <c r="I19414" s="199"/>
      <c r="J19414" s="199"/>
    </row>
    <row r="19415" spans="9:10" x14ac:dyDescent="0.25">
      <c r="I19415" s="199"/>
      <c r="J19415" s="199"/>
    </row>
    <row r="19416" spans="9:10" x14ac:dyDescent="0.25">
      <c r="I19416" s="199"/>
      <c r="J19416" s="199"/>
    </row>
    <row r="19417" spans="9:10" x14ac:dyDescent="0.25">
      <c r="I19417" s="199"/>
      <c r="J19417" s="199"/>
    </row>
    <row r="19418" spans="9:10" x14ac:dyDescent="0.25">
      <c r="I19418" s="199"/>
      <c r="J19418" s="199"/>
    </row>
    <row r="19419" spans="9:10" x14ac:dyDescent="0.25">
      <c r="I19419" s="199"/>
      <c r="J19419" s="199"/>
    </row>
    <row r="19420" spans="9:10" x14ac:dyDescent="0.25">
      <c r="I19420" s="199"/>
      <c r="J19420" s="199"/>
    </row>
    <row r="19421" spans="9:10" x14ac:dyDescent="0.25">
      <c r="I19421" s="199"/>
      <c r="J19421" s="199"/>
    </row>
    <row r="19422" spans="9:10" x14ac:dyDescent="0.25">
      <c r="I19422" s="199"/>
      <c r="J19422" s="199"/>
    </row>
    <row r="19423" spans="9:10" x14ac:dyDescent="0.25">
      <c r="I19423" s="199"/>
      <c r="J19423" s="199"/>
    </row>
    <row r="19424" spans="9:10" x14ac:dyDescent="0.25">
      <c r="I19424" s="199"/>
      <c r="J19424" s="199"/>
    </row>
    <row r="19425" spans="9:10" x14ac:dyDescent="0.25">
      <c r="I19425" s="199"/>
      <c r="J19425" s="199"/>
    </row>
    <row r="19426" spans="9:10" x14ac:dyDescent="0.25">
      <c r="I19426" s="199"/>
      <c r="J19426" s="199"/>
    </row>
    <row r="19427" spans="9:10" x14ac:dyDescent="0.25">
      <c r="I19427" s="199"/>
      <c r="J19427" s="199"/>
    </row>
    <row r="19428" spans="9:10" x14ac:dyDescent="0.25">
      <c r="I19428" s="199"/>
      <c r="J19428" s="199"/>
    </row>
    <row r="19429" spans="9:10" x14ac:dyDescent="0.25">
      <c r="I19429" s="199"/>
      <c r="J19429" s="199"/>
    </row>
    <row r="19430" spans="9:10" x14ac:dyDescent="0.25">
      <c r="I19430" s="199"/>
      <c r="J19430" s="199"/>
    </row>
    <row r="19431" spans="9:10" x14ac:dyDescent="0.25">
      <c r="I19431" s="199"/>
      <c r="J19431" s="199"/>
    </row>
    <row r="19432" spans="9:10" x14ac:dyDescent="0.25">
      <c r="I19432" s="199"/>
      <c r="J19432" s="199"/>
    </row>
    <row r="19433" spans="9:10" x14ac:dyDescent="0.25">
      <c r="I19433" s="199"/>
      <c r="J19433" s="199"/>
    </row>
    <row r="19434" spans="9:10" x14ac:dyDescent="0.25">
      <c r="I19434" s="199"/>
      <c r="J19434" s="199"/>
    </row>
    <row r="19435" spans="9:10" x14ac:dyDescent="0.25">
      <c r="I19435" s="199"/>
      <c r="J19435" s="199"/>
    </row>
    <row r="19436" spans="9:10" x14ac:dyDescent="0.25">
      <c r="I19436" s="199"/>
      <c r="J19436" s="199"/>
    </row>
    <row r="19437" spans="9:10" x14ac:dyDescent="0.25">
      <c r="I19437" s="199"/>
      <c r="J19437" s="199"/>
    </row>
    <row r="19438" spans="9:10" x14ac:dyDescent="0.25">
      <c r="I19438" s="199"/>
      <c r="J19438" s="199"/>
    </row>
    <row r="19439" spans="9:10" x14ac:dyDescent="0.25">
      <c r="I19439" s="199"/>
      <c r="J19439" s="199"/>
    </row>
    <row r="19440" spans="9:10" x14ac:dyDescent="0.25">
      <c r="I19440" s="199"/>
      <c r="J19440" s="199"/>
    </row>
    <row r="19441" spans="9:10" x14ac:dyDescent="0.25">
      <c r="I19441" s="199"/>
      <c r="J19441" s="199"/>
    </row>
    <row r="19442" spans="9:10" x14ac:dyDescent="0.25">
      <c r="I19442" s="199"/>
      <c r="J19442" s="199"/>
    </row>
    <row r="19443" spans="9:10" x14ac:dyDescent="0.25">
      <c r="I19443" s="199"/>
      <c r="J19443" s="199"/>
    </row>
    <row r="19444" spans="9:10" x14ac:dyDescent="0.25">
      <c r="I19444" s="199"/>
      <c r="J19444" s="199"/>
    </row>
    <row r="19445" spans="9:10" x14ac:dyDescent="0.25">
      <c r="I19445" s="199"/>
      <c r="J19445" s="199"/>
    </row>
    <row r="19446" spans="9:10" x14ac:dyDescent="0.25">
      <c r="I19446" s="199"/>
      <c r="J19446" s="199"/>
    </row>
    <row r="19447" spans="9:10" x14ac:dyDescent="0.25">
      <c r="I19447" s="199"/>
      <c r="J19447" s="199"/>
    </row>
    <row r="19448" spans="9:10" x14ac:dyDescent="0.25">
      <c r="I19448" s="199"/>
      <c r="J19448" s="199"/>
    </row>
    <row r="19449" spans="9:10" x14ac:dyDescent="0.25">
      <c r="I19449" s="199"/>
      <c r="J19449" s="199"/>
    </row>
    <row r="19450" spans="9:10" x14ac:dyDescent="0.25">
      <c r="I19450" s="199"/>
      <c r="J19450" s="199"/>
    </row>
    <row r="19451" spans="9:10" x14ac:dyDescent="0.25">
      <c r="I19451" s="199"/>
      <c r="J19451" s="199"/>
    </row>
    <row r="19452" spans="9:10" x14ac:dyDescent="0.25">
      <c r="I19452" s="199"/>
      <c r="J19452" s="199"/>
    </row>
    <row r="19453" spans="9:10" x14ac:dyDescent="0.25">
      <c r="I19453" s="199"/>
      <c r="J19453" s="199"/>
    </row>
    <row r="19454" spans="9:10" x14ac:dyDescent="0.25">
      <c r="I19454" s="199"/>
      <c r="J19454" s="199"/>
    </row>
    <row r="19455" spans="9:10" x14ac:dyDescent="0.25">
      <c r="I19455" s="199"/>
      <c r="J19455" s="199"/>
    </row>
    <row r="19456" spans="9:10" x14ac:dyDescent="0.25">
      <c r="I19456" s="199"/>
      <c r="J19456" s="199"/>
    </row>
    <row r="19457" spans="9:10" x14ac:dyDescent="0.25">
      <c r="I19457" s="199"/>
      <c r="J19457" s="199"/>
    </row>
    <row r="19458" spans="9:10" x14ac:dyDescent="0.25">
      <c r="I19458" s="199"/>
      <c r="J19458" s="199"/>
    </row>
    <row r="19459" spans="9:10" x14ac:dyDescent="0.25">
      <c r="I19459" s="199"/>
      <c r="J19459" s="199"/>
    </row>
    <row r="19460" spans="9:10" x14ac:dyDescent="0.25">
      <c r="I19460" s="199"/>
      <c r="J19460" s="199"/>
    </row>
    <row r="19461" spans="9:10" x14ac:dyDescent="0.25">
      <c r="I19461" s="199"/>
      <c r="J19461" s="199"/>
    </row>
    <row r="19462" spans="9:10" x14ac:dyDescent="0.25">
      <c r="I19462" s="199"/>
      <c r="J19462" s="199"/>
    </row>
    <row r="19463" spans="9:10" x14ac:dyDescent="0.25">
      <c r="I19463" s="199"/>
      <c r="J19463" s="199"/>
    </row>
    <row r="19464" spans="9:10" x14ac:dyDescent="0.25">
      <c r="I19464" s="199"/>
      <c r="J19464" s="199"/>
    </row>
    <row r="19465" spans="9:10" x14ac:dyDescent="0.25">
      <c r="I19465" s="199"/>
      <c r="J19465" s="199"/>
    </row>
    <row r="19466" spans="9:10" x14ac:dyDescent="0.25">
      <c r="I19466" s="199"/>
      <c r="J19466" s="199"/>
    </row>
    <row r="19467" spans="9:10" x14ac:dyDescent="0.25">
      <c r="I19467" s="199"/>
      <c r="J19467" s="199"/>
    </row>
    <row r="19468" spans="9:10" x14ac:dyDescent="0.25">
      <c r="I19468" s="199"/>
      <c r="J19468" s="199"/>
    </row>
    <row r="19469" spans="9:10" x14ac:dyDescent="0.25">
      <c r="I19469" s="199"/>
      <c r="J19469" s="199"/>
    </row>
    <row r="19470" spans="9:10" x14ac:dyDescent="0.25">
      <c r="I19470" s="199"/>
      <c r="J19470" s="199"/>
    </row>
    <row r="19471" spans="9:10" x14ac:dyDescent="0.25">
      <c r="I19471" s="199"/>
      <c r="J19471" s="199"/>
    </row>
    <row r="19472" spans="9:10" x14ac:dyDescent="0.25">
      <c r="I19472" s="199"/>
      <c r="J19472" s="199"/>
    </row>
    <row r="19473" spans="9:10" x14ac:dyDescent="0.25">
      <c r="I19473" s="199"/>
      <c r="J19473" s="199"/>
    </row>
    <row r="19474" spans="9:10" x14ac:dyDescent="0.25">
      <c r="I19474" s="199"/>
      <c r="J19474" s="199"/>
    </row>
    <row r="19475" spans="9:10" x14ac:dyDescent="0.25">
      <c r="I19475" s="199"/>
      <c r="J19475" s="199"/>
    </row>
    <row r="19476" spans="9:10" x14ac:dyDescent="0.25">
      <c r="I19476" s="199"/>
      <c r="J19476" s="199"/>
    </row>
    <row r="19477" spans="9:10" x14ac:dyDescent="0.25">
      <c r="I19477" s="199"/>
      <c r="J19477" s="199"/>
    </row>
    <row r="19478" spans="9:10" x14ac:dyDescent="0.25">
      <c r="I19478" s="199"/>
      <c r="J19478" s="199"/>
    </row>
    <row r="19479" spans="9:10" x14ac:dyDescent="0.25">
      <c r="I19479" s="199"/>
      <c r="J19479" s="199"/>
    </row>
    <row r="19480" spans="9:10" x14ac:dyDescent="0.25">
      <c r="I19480" s="199"/>
      <c r="J19480" s="199"/>
    </row>
    <row r="19481" spans="9:10" x14ac:dyDescent="0.25">
      <c r="I19481" s="199"/>
      <c r="J19481" s="199"/>
    </row>
    <row r="19482" spans="9:10" x14ac:dyDescent="0.25">
      <c r="I19482" s="199"/>
      <c r="J19482" s="199"/>
    </row>
    <row r="19483" spans="9:10" x14ac:dyDescent="0.25">
      <c r="I19483" s="199"/>
      <c r="J19483" s="199"/>
    </row>
    <row r="19484" spans="9:10" x14ac:dyDescent="0.25">
      <c r="I19484" s="199"/>
      <c r="J19484" s="199"/>
    </row>
    <row r="19485" spans="9:10" x14ac:dyDescent="0.25">
      <c r="I19485" s="199"/>
      <c r="J19485" s="199"/>
    </row>
    <row r="19486" spans="9:10" x14ac:dyDescent="0.25">
      <c r="I19486" s="199"/>
      <c r="J19486" s="199"/>
    </row>
    <row r="19487" spans="9:10" x14ac:dyDescent="0.25">
      <c r="I19487" s="199"/>
      <c r="J19487" s="199"/>
    </row>
    <row r="19488" spans="9:10" x14ac:dyDescent="0.25">
      <c r="I19488" s="199"/>
      <c r="J19488" s="199"/>
    </row>
    <row r="19489" spans="9:10" x14ac:dyDescent="0.25">
      <c r="I19489" s="199"/>
      <c r="J19489" s="199"/>
    </row>
    <row r="19490" spans="9:10" x14ac:dyDescent="0.25">
      <c r="I19490" s="199"/>
      <c r="J19490" s="199"/>
    </row>
    <row r="19491" spans="9:10" x14ac:dyDescent="0.25">
      <c r="I19491" s="199"/>
      <c r="J19491" s="199"/>
    </row>
    <row r="19492" spans="9:10" x14ac:dyDescent="0.25">
      <c r="I19492" s="199"/>
      <c r="J19492" s="199"/>
    </row>
    <row r="19493" spans="9:10" x14ac:dyDescent="0.25">
      <c r="I19493" s="199"/>
      <c r="J19493" s="199"/>
    </row>
    <row r="19494" spans="9:10" x14ac:dyDescent="0.25">
      <c r="I19494" s="199"/>
      <c r="J19494" s="199"/>
    </row>
    <row r="19495" spans="9:10" x14ac:dyDescent="0.25">
      <c r="I19495" s="199"/>
      <c r="J19495" s="199"/>
    </row>
    <row r="19496" spans="9:10" x14ac:dyDescent="0.25">
      <c r="I19496" s="199"/>
      <c r="J19496" s="199"/>
    </row>
    <row r="19497" spans="9:10" x14ac:dyDescent="0.25">
      <c r="I19497" s="199"/>
      <c r="J19497" s="199"/>
    </row>
    <row r="19498" spans="9:10" x14ac:dyDescent="0.25">
      <c r="I19498" s="199"/>
      <c r="J19498" s="199"/>
    </row>
    <row r="19499" spans="9:10" x14ac:dyDescent="0.25">
      <c r="I19499" s="199"/>
      <c r="J19499" s="199"/>
    </row>
    <row r="19500" spans="9:10" x14ac:dyDescent="0.25">
      <c r="I19500" s="199"/>
      <c r="J19500" s="199"/>
    </row>
    <row r="19501" spans="9:10" x14ac:dyDescent="0.25">
      <c r="I19501" s="199"/>
      <c r="J19501" s="199"/>
    </row>
    <row r="19502" spans="9:10" x14ac:dyDescent="0.25">
      <c r="I19502" s="199"/>
      <c r="J19502" s="199"/>
    </row>
    <row r="19503" spans="9:10" x14ac:dyDescent="0.25">
      <c r="I19503" s="199"/>
      <c r="J19503" s="199"/>
    </row>
    <row r="19504" spans="9:10" x14ac:dyDescent="0.25">
      <c r="I19504" s="199"/>
      <c r="J19504" s="199"/>
    </row>
    <row r="19505" spans="9:10" x14ac:dyDescent="0.25">
      <c r="I19505" s="199"/>
      <c r="J19505" s="199"/>
    </row>
    <row r="19506" spans="9:10" x14ac:dyDescent="0.25">
      <c r="I19506" s="199"/>
      <c r="J19506" s="199"/>
    </row>
    <row r="19507" spans="9:10" x14ac:dyDescent="0.25">
      <c r="I19507" s="199"/>
      <c r="J19507" s="199"/>
    </row>
    <row r="19508" spans="9:10" x14ac:dyDescent="0.25">
      <c r="I19508" s="199"/>
      <c r="J19508" s="199"/>
    </row>
    <row r="19509" spans="9:10" x14ac:dyDescent="0.25">
      <c r="I19509" s="199"/>
      <c r="J19509" s="199"/>
    </row>
    <row r="19510" spans="9:10" x14ac:dyDescent="0.25">
      <c r="I19510" s="199"/>
      <c r="J19510" s="199"/>
    </row>
    <row r="19511" spans="9:10" x14ac:dyDescent="0.25">
      <c r="I19511" s="199"/>
      <c r="J19511" s="199"/>
    </row>
    <row r="19512" spans="9:10" x14ac:dyDescent="0.25">
      <c r="I19512" s="199"/>
      <c r="J19512" s="199"/>
    </row>
    <row r="19513" spans="9:10" x14ac:dyDescent="0.25">
      <c r="I19513" s="199"/>
      <c r="J19513" s="199"/>
    </row>
    <row r="19514" spans="9:10" x14ac:dyDescent="0.25">
      <c r="I19514" s="199"/>
      <c r="J19514" s="199"/>
    </row>
    <row r="19515" spans="9:10" x14ac:dyDescent="0.25">
      <c r="I19515" s="199"/>
      <c r="J19515" s="199"/>
    </row>
    <row r="19516" spans="9:10" x14ac:dyDescent="0.25">
      <c r="I19516" s="199"/>
      <c r="J19516" s="199"/>
    </row>
    <row r="19517" spans="9:10" x14ac:dyDescent="0.25">
      <c r="I19517" s="199"/>
      <c r="J19517" s="199"/>
    </row>
    <row r="19518" spans="9:10" x14ac:dyDescent="0.25">
      <c r="I19518" s="199"/>
      <c r="J19518" s="199"/>
    </row>
    <row r="19519" spans="9:10" x14ac:dyDescent="0.25">
      <c r="I19519" s="199"/>
      <c r="J19519" s="199"/>
    </row>
    <row r="19520" spans="9:10" x14ac:dyDescent="0.25">
      <c r="I19520" s="199"/>
      <c r="J19520" s="199"/>
    </row>
    <row r="19521" spans="9:10" x14ac:dyDescent="0.25">
      <c r="I19521" s="199"/>
      <c r="J19521" s="199"/>
    </row>
    <row r="19522" spans="9:10" x14ac:dyDescent="0.25">
      <c r="I19522" s="199"/>
      <c r="J19522" s="199"/>
    </row>
    <row r="19523" spans="9:10" x14ac:dyDescent="0.25">
      <c r="I19523" s="199"/>
      <c r="J19523" s="199"/>
    </row>
    <row r="19524" spans="9:10" x14ac:dyDescent="0.25">
      <c r="I19524" s="199"/>
      <c r="J19524" s="199"/>
    </row>
    <row r="19525" spans="9:10" x14ac:dyDescent="0.25">
      <c r="I19525" s="199"/>
      <c r="J19525" s="199"/>
    </row>
    <row r="19526" spans="9:10" x14ac:dyDescent="0.25">
      <c r="I19526" s="199"/>
      <c r="J19526" s="199"/>
    </row>
    <row r="19527" spans="9:10" x14ac:dyDescent="0.25">
      <c r="I19527" s="199"/>
      <c r="J19527" s="199"/>
    </row>
    <row r="19528" spans="9:10" x14ac:dyDescent="0.25">
      <c r="I19528" s="199"/>
      <c r="J19528" s="199"/>
    </row>
    <row r="19529" spans="9:10" x14ac:dyDescent="0.25">
      <c r="I19529" s="199"/>
      <c r="J19529" s="199"/>
    </row>
    <row r="19530" spans="9:10" x14ac:dyDescent="0.25">
      <c r="I19530" s="199"/>
      <c r="J19530" s="199"/>
    </row>
    <row r="19531" spans="9:10" x14ac:dyDescent="0.25">
      <c r="I19531" s="199"/>
      <c r="J19531" s="199"/>
    </row>
    <row r="19532" spans="9:10" x14ac:dyDescent="0.25">
      <c r="I19532" s="199"/>
      <c r="J19532" s="199"/>
    </row>
    <row r="19533" spans="9:10" x14ac:dyDescent="0.25">
      <c r="I19533" s="199"/>
      <c r="J19533" s="199"/>
    </row>
    <row r="19534" spans="9:10" x14ac:dyDescent="0.25">
      <c r="I19534" s="199"/>
      <c r="J19534" s="199"/>
    </row>
    <row r="19535" spans="9:10" x14ac:dyDescent="0.25">
      <c r="I19535" s="199"/>
      <c r="J19535" s="199"/>
    </row>
    <row r="19536" spans="9:10" x14ac:dyDescent="0.25">
      <c r="I19536" s="199"/>
      <c r="J19536" s="199"/>
    </row>
    <row r="19537" spans="9:10" x14ac:dyDescent="0.25">
      <c r="I19537" s="199"/>
      <c r="J19537" s="199"/>
    </row>
    <row r="19538" spans="9:10" x14ac:dyDescent="0.25">
      <c r="I19538" s="199"/>
      <c r="J19538" s="199"/>
    </row>
    <row r="19539" spans="9:10" x14ac:dyDescent="0.25">
      <c r="I19539" s="199"/>
      <c r="J19539" s="199"/>
    </row>
    <row r="19540" spans="9:10" x14ac:dyDescent="0.25">
      <c r="I19540" s="199"/>
      <c r="J19540" s="199"/>
    </row>
    <row r="19541" spans="9:10" x14ac:dyDescent="0.25">
      <c r="I19541" s="199"/>
      <c r="J19541" s="199"/>
    </row>
    <row r="19542" spans="9:10" x14ac:dyDescent="0.25">
      <c r="I19542" s="199"/>
      <c r="J19542" s="199"/>
    </row>
    <row r="19543" spans="9:10" x14ac:dyDescent="0.25">
      <c r="I19543" s="199"/>
      <c r="J19543" s="199"/>
    </row>
    <row r="19544" spans="9:10" x14ac:dyDescent="0.25">
      <c r="I19544" s="199"/>
      <c r="J19544" s="199"/>
    </row>
    <row r="19545" spans="9:10" x14ac:dyDescent="0.25">
      <c r="I19545" s="199"/>
      <c r="J19545" s="199"/>
    </row>
    <row r="19546" spans="9:10" x14ac:dyDescent="0.25">
      <c r="I19546" s="199"/>
      <c r="J19546" s="199"/>
    </row>
    <row r="19547" spans="9:10" x14ac:dyDescent="0.25">
      <c r="I19547" s="199"/>
      <c r="J19547" s="199"/>
    </row>
    <row r="19548" spans="9:10" x14ac:dyDescent="0.25">
      <c r="I19548" s="199"/>
      <c r="J19548" s="199"/>
    </row>
    <row r="19549" spans="9:10" x14ac:dyDescent="0.25">
      <c r="I19549" s="199"/>
      <c r="J19549" s="199"/>
    </row>
    <row r="19550" spans="9:10" x14ac:dyDescent="0.25">
      <c r="I19550" s="199"/>
      <c r="J19550" s="199"/>
    </row>
    <row r="19551" spans="9:10" x14ac:dyDescent="0.25">
      <c r="I19551" s="199"/>
      <c r="J19551" s="199"/>
    </row>
    <row r="19552" spans="9:10" x14ac:dyDescent="0.25">
      <c r="I19552" s="199"/>
      <c r="J19552" s="199"/>
    </row>
    <row r="19553" spans="9:10" x14ac:dyDescent="0.25">
      <c r="I19553" s="199"/>
      <c r="J19553" s="199"/>
    </row>
    <row r="19554" spans="9:10" x14ac:dyDescent="0.25">
      <c r="I19554" s="199"/>
      <c r="J19554" s="199"/>
    </row>
    <row r="19555" spans="9:10" x14ac:dyDescent="0.25">
      <c r="I19555" s="199"/>
      <c r="J19555" s="199"/>
    </row>
    <row r="19556" spans="9:10" x14ac:dyDescent="0.25">
      <c r="I19556" s="199"/>
      <c r="J19556" s="199"/>
    </row>
    <row r="19557" spans="9:10" x14ac:dyDescent="0.25">
      <c r="I19557" s="199"/>
      <c r="J19557" s="199"/>
    </row>
    <row r="19558" spans="9:10" x14ac:dyDescent="0.25">
      <c r="I19558" s="199"/>
      <c r="J19558" s="199"/>
    </row>
    <row r="19559" spans="9:10" x14ac:dyDescent="0.25">
      <c r="I19559" s="199"/>
      <c r="J19559" s="199"/>
    </row>
    <row r="19560" spans="9:10" x14ac:dyDescent="0.25">
      <c r="I19560" s="199"/>
      <c r="J19560" s="199"/>
    </row>
    <row r="19561" spans="9:10" x14ac:dyDescent="0.25">
      <c r="I19561" s="199"/>
      <c r="J19561" s="199"/>
    </row>
    <row r="19562" spans="9:10" x14ac:dyDescent="0.25">
      <c r="I19562" s="199"/>
      <c r="J19562" s="199"/>
    </row>
    <row r="19563" spans="9:10" x14ac:dyDescent="0.25">
      <c r="I19563" s="199"/>
      <c r="J19563" s="199"/>
    </row>
    <row r="19564" spans="9:10" x14ac:dyDescent="0.25">
      <c r="I19564" s="199"/>
      <c r="J19564" s="199"/>
    </row>
    <row r="19565" spans="9:10" x14ac:dyDescent="0.25">
      <c r="I19565" s="199"/>
      <c r="J19565" s="199"/>
    </row>
    <row r="19566" spans="9:10" x14ac:dyDescent="0.25">
      <c r="I19566" s="199"/>
      <c r="J19566" s="199"/>
    </row>
    <row r="19567" spans="9:10" x14ac:dyDescent="0.25">
      <c r="I19567" s="199"/>
      <c r="J19567" s="199"/>
    </row>
    <row r="19568" spans="9:10" x14ac:dyDescent="0.25">
      <c r="I19568" s="199"/>
      <c r="J19568" s="199"/>
    </row>
    <row r="19569" spans="9:10" x14ac:dyDescent="0.25">
      <c r="I19569" s="199"/>
      <c r="J19569" s="199"/>
    </row>
    <row r="19570" spans="9:10" x14ac:dyDescent="0.25">
      <c r="I19570" s="199"/>
      <c r="J19570" s="199"/>
    </row>
    <row r="19571" spans="9:10" x14ac:dyDescent="0.25">
      <c r="I19571" s="199"/>
      <c r="J19571" s="199"/>
    </row>
    <row r="19572" spans="9:10" x14ac:dyDescent="0.25">
      <c r="I19572" s="199"/>
      <c r="J19572" s="199"/>
    </row>
    <row r="19573" spans="9:10" x14ac:dyDescent="0.25">
      <c r="I19573" s="199"/>
      <c r="J19573" s="199"/>
    </row>
    <row r="19574" spans="9:10" x14ac:dyDescent="0.25">
      <c r="I19574" s="199"/>
      <c r="J19574" s="199"/>
    </row>
    <row r="19575" spans="9:10" x14ac:dyDescent="0.25">
      <c r="I19575" s="199"/>
      <c r="J19575" s="199"/>
    </row>
    <row r="19576" spans="9:10" x14ac:dyDescent="0.25">
      <c r="I19576" s="199"/>
      <c r="J19576" s="199"/>
    </row>
    <row r="19577" spans="9:10" x14ac:dyDescent="0.25">
      <c r="I19577" s="199"/>
      <c r="J19577" s="199"/>
    </row>
    <row r="19578" spans="9:10" x14ac:dyDescent="0.25">
      <c r="I19578" s="199"/>
      <c r="J19578" s="199"/>
    </row>
    <row r="19579" spans="9:10" x14ac:dyDescent="0.25">
      <c r="I19579" s="199"/>
      <c r="J19579" s="199"/>
    </row>
    <row r="19580" spans="9:10" x14ac:dyDescent="0.25">
      <c r="I19580" s="199"/>
      <c r="J19580" s="199"/>
    </row>
    <row r="19581" spans="9:10" x14ac:dyDescent="0.25">
      <c r="I19581" s="199"/>
      <c r="J19581" s="199"/>
    </row>
    <row r="19582" spans="9:10" x14ac:dyDescent="0.25">
      <c r="I19582" s="199"/>
      <c r="J19582" s="199"/>
    </row>
    <row r="19583" spans="9:10" x14ac:dyDescent="0.25">
      <c r="I19583" s="199"/>
      <c r="J19583" s="199"/>
    </row>
    <row r="19584" spans="9:10" x14ac:dyDescent="0.25">
      <c r="I19584" s="199"/>
      <c r="J19584" s="199"/>
    </row>
    <row r="19585" spans="9:10" x14ac:dyDescent="0.25">
      <c r="I19585" s="199"/>
      <c r="J19585" s="199"/>
    </row>
    <row r="19586" spans="9:10" x14ac:dyDescent="0.25">
      <c r="I19586" s="199"/>
      <c r="J19586" s="199"/>
    </row>
    <row r="19587" spans="9:10" x14ac:dyDescent="0.25">
      <c r="I19587" s="199"/>
      <c r="J19587" s="199"/>
    </row>
    <row r="19588" spans="9:10" x14ac:dyDescent="0.25">
      <c r="I19588" s="199"/>
      <c r="J19588" s="199"/>
    </row>
    <row r="19589" spans="9:10" x14ac:dyDescent="0.25">
      <c r="I19589" s="199"/>
      <c r="J19589" s="199"/>
    </row>
    <row r="19590" spans="9:10" x14ac:dyDescent="0.25">
      <c r="I19590" s="199"/>
      <c r="J19590" s="199"/>
    </row>
    <row r="19591" spans="9:10" x14ac:dyDescent="0.25">
      <c r="I19591" s="199"/>
      <c r="J19591" s="199"/>
    </row>
    <row r="19592" spans="9:10" x14ac:dyDescent="0.25">
      <c r="I19592" s="199"/>
      <c r="J19592" s="199"/>
    </row>
    <row r="19593" spans="9:10" x14ac:dyDescent="0.25">
      <c r="I19593" s="199"/>
      <c r="J19593" s="199"/>
    </row>
    <row r="19594" spans="9:10" x14ac:dyDescent="0.25">
      <c r="I19594" s="199"/>
      <c r="J19594" s="199"/>
    </row>
    <row r="19595" spans="9:10" x14ac:dyDescent="0.25">
      <c r="I19595" s="199"/>
      <c r="J19595" s="199"/>
    </row>
    <row r="19596" spans="9:10" x14ac:dyDescent="0.25">
      <c r="I19596" s="199"/>
      <c r="J19596" s="199"/>
    </row>
    <row r="19597" spans="9:10" x14ac:dyDescent="0.25">
      <c r="I19597" s="199"/>
      <c r="J19597" s="199"/>
    </row>
    <row r="19598" spans="9:10" x14ac:dyDescent="0.25">
      <c r="I19598" s="199"/>
      <c r="J19598" s="199"/>
    </row>
    <row r="19599" spans="9:10" x14ac:dyDescent="0.25">
      <c r="I19599" s="199"/>
      <c r="J19599" s="199"/>
    </row>
    <row r="19600" spans="9:10" x14ac:dyDescent="0.25">
      <c r="I19600" s="199"/>
      <c r="J19600" s="199"/>
    </row>
    <row r="19601" spans="9:10" x14ac:dyDescent="0.25">
      <c r="I19601" s="199"/>
      <c r="J19601" s="199"/>
    </row>
    <row r="19602" spans="9:10" x14ac:dyDescent="0.25">
      <c r="I19602" s="199"/>
      <c r="J19602" s="199"/>
    </row>
    <row r="19603" spans="9:10" x14ac:dyDescent="0.25">
      <c r="I19603" s="199"/>
      <c r="J19603" s="199"/>
    </row>
    <row r="19604" spans="9:10" x14ac:dyDescent="0.25">
      <c r="I19604" s="199"/>
      <c r="J19604" s="199"/>
    </row>
    <row r="19605" spans="9:10" x14ac:dyDescent="0.25">
      <c r="I19605" s="199"/>
      <c r="J19605" s="199"/>
    </row>
    <row r="19606" spans="9:10" x14ac:dyDescent="0.25">
      <c r="I19606" s="199"/>
      <c r="J19606" s="199"/>
    </row>
    <row r="19607" spans="9:10" x14ac:dyDescent="0.25">
      <c r="I19607" s="199"/>
      <c r="J19607" s="199"/>
    </row>
    <row r="19608" spans="9:10" x14ac:dyDescent="0.25">
      <c r="I19608" s="199"/>
      <c r="J19608" s="199"/>
    </row>
    <row r="19609" spans="9:10" x14ac:dyDescent="0.25">
      <c r="I19609" s="199"/>
      <c r="J19609" s="199"/>
    </row>
    <row r="19610" spans="9:10" x14ac:dyDescent="0.25">
      <c r="I19610" s="199"/>
      <c r="J19610" s="199"/>
    </row>
    <row r="19611" spans="9:10" x14ac:dyDescent="0.25">
      <c r="I19611" s="199"/>
      <c r="J19611" s="199"/>
    </row>
    <row r="19612" spans="9:10" x14ac:dyDescent="0.25">
      <c r="I19612" s="199"/>
      <c r="J19612" s="199"/>
    </row>
    <row r="19613" spans="9:10" x14ac:dyDescent="0.25">
      <c r="I19613" s="199"/>
      <c r="J19613" s="199"/>
    </row>
    <row r="19614" spans="9:10" x14ac:dyDescent="0.25">
      <c r="I19614" s="199"/>
      <c r="J19614" s="199"/>
    </row>
    <row r="19615" spans="9:10" x14ac:dyDescent="0.25">
      <c r="I19615" s="199"/>
      <c r="J19615" s="199"/>
    </row>
    <row r="19616" spans="9:10" x14ac:dyDescent="0.25">
      <c r="I19616" s="199"/>
      <c r="J19616" s="199"/>
    </row>
    <row r="19617" spans="9:10" x14ac:dyDescent="0.25">
      <c r="I19617" s="199"/>
      <c r="J19617" s="199"/>
    </row>
    <row r="19618" spans="9:10" x14ac:dyDescent="0.25">
      <c r="I19618" s="199"/>
      <c r="J19618" s="199"/>
    </row>
    <row r="19619" spans="9:10" x14ac:dyDescent="0.25">
      <c r="I19619" s="199"/>
      <c r="J19619" s="199"/>
    </row>
    <row r="19620" spans="9:10" x14ac:dyDescent="0.25">
      <c r="I19620" s="199"/>
      <c r="J19620" s="199"/>
    </row>
    <row r="19621" spans="9:10" x14ac:dyDescent="0.25">
      <c r="I19621" s="199"/>
      <c r="J19621" s="199"/>
    </row>
    <row r="19622" spans="9:10" x14ac:dyDescent="0.25">
      <c r="I19622" s="199"/>
      <c r="J19622" s="199"/>
    </row>
    <row r="19623" spans="9:10" x14ac:dyDescent="0.25">
      <c r="I19623" s="199"/>
      <c r="J19623" s="199"/>
    </row>
    <row r="19624" spans="9:10" x14ac:dyDescent="0.25">
      <c r="I19624" s="199"/>
      <c r="J19624" s="199"/>
    </row>
    <row r="19625" spans="9:10" x14ac:dyDescent="0.25">
      <c r="I19625" s="199"/>
      <c r="J19625" s="199"/>
    </row>
    <row r="19626" spans="9:10" x14ac:dyDescent="0.25">
      <c r="I19626" s="199"/>
      <c r="J19626" s="199"/>
    </row>
    <row r="19627" spans="9:10" x14ac:dyDescent="0.25">
      <c r="I19627" s="199"/>
      <c r="J19627" s="199"/>
    </row>
    <row r="19628" spans="9:10" x14ac:dyDescent="0.25">
      <c r="I19628" s="199"/>
      <c r="J19628" s="199"/>
    </row>
    <row r="19629" spans="9:10" x14ac:dyDescent="0.25">
      <c r="I19629" s="199"/>
      <c r="J19629" s="199"/>
    </row>
    <row r="19630" spans="9:10" x14ac:dyDescent="0.25">
      <c r="I19630" s="199"/>
      <c r="J19630" s="199"/>
    </row>
    <row r="19631" spans="9:10" x14ac:dyDescent="0.25">
      <c r="I19631" s="199"/>
      <c r="J19631" s="199"/>
    </row>
    <row r="19632" spans="9:10" x14ac:dyDescent="0.25">
      <c r="I19632" s="199"/>
      <c r="J19632" s="199"/>
    </row>
    <row r="19633" spans="9:10" x14ac:dyDescent="0.25">
      <c r="I19633" s="199"/>
      <c r="J19633" s="199"/>
    </row>
    <row r="19634" spans="9:10" x14ac:dyDescent="0.25">
      <c r="I19634" s="199"/>
      <c r="J19634" s="199"/>
    </row>
    <row r="19635" spans="9:10" x14ac:dyDescent="0.25">
      <c r="I19635" s="199"/>
      <c r="J19635" s="199"/>
    </row>
    <row r="19636" spans="9:10" x14ac:dyDescent="0.25">
      <c r="I19636" s="199"/>
      <c r="J19636" s="199"/>
    </row>
    <row r="19637" spans="9:10" x14ac:dyDescent="0.25">
      <c r="I19637" s="199"/>
      <c r="J19637" s="199"/>
    </row>
    <row r="19638" spans="9:10" x14ac:dyDescent="0.25">
      <c r="I19638" s="199"/>
      <c r="J19638" s="199"/>
    </row>
    <row r="19639" spans="9:10" x14ac:dyDescent="0.25">
      <c r="I19639" s="199"/>
      <c r="J19639" s="199"/>
    </row>
    <row r="19640" spans="9:10" x14ac:dyDescent="0.25">
      <c r="I19640" s="199"/>
      <c r="J19640" s="199"/>
    </row>
    <row r="19641" spans="9:10" x14ac:dyDescent="0.25">
      <c r="I19641" s="199"/>
      <c r="J19641" s="199"/>
    </row>
    <row r="19642" spans="9:10" x14ac:dyDescent="0.25">
      <c r="I19642" s="199"/>
      <c r="J19642" s="199"/>
    </row>
    <row r="19643" spans="9:10" x14ac:dyDescent="0.25">
      <c r="I19643" s="199"/>
      <c r="J19643" s="199"/>
    </row>
    <row r="19644" spans="9:10" x14ac:dyDescent="0.25">
      <c r="I19644" s="199"/>
      <c r="J19644" s="199"/>
    </row>
    <row r="19645" spans="9:10" x14ac:dyDescent="0.25">
      <c r="I19645" s="199"/>
      <c r="J19645" s="199"/>
    </row>
    <row r="19646" spans="9:10" x14ac:dyDescent="0.25">
      <c r="I19646" s="199"/>
      <c r="J19646" s="199"/>
    </row>
    <row r="19647" spans="9:10" x14ac:dyDescent="0.25">
      <c r="I19647" s="199"/>
      <c r="J19647" s="199"/>
    </row>
    <row r="19648" spans="9:10" x14ac:dyDescent="0.25">
      <c r="I19648" s="199"/>
      <c r="J19648" s="199"/>
    </row>
    <row r="19649" spans="9:10" x14ac:dyDescent="0.25">
      <c r="I19649" s="199"/>
      <c r="J19649" s="199"/>
    </row>
    <row r="19650" spans="9:10" x14ac:dyDescent="0.25">
      <c r="I19650" s="199"/>
      <c r="J19650" s="199"/>
    </row>
    <row r="19651" spans="9:10" x14ac:dyDescent="0.25">
      <c r="I19651" s="199"/>
      <c r="J19651" s="199"/>
    </row>
    <row r="19652" spans="9:10" x14ac:dyDescent="0.25">
      <c r="I19652" s="199"/>
      <c r="J19652" s="199"/>
    </row>
    <row r="19653" spans="9:10" x14ac:dyDescent="0.25">
      <c r="I19653" s="199"/>
      <c r="J19653" s="199"/>
    </row>
    <row r="19654" spans="9:10" x14ac:dyDescent="0.25">
      <c r="I19654" s="199"/>
      <c r="J19654" s="199"/>
    </row>
    <row r="19655" spans="9:10" x14ac:dyDescent="0.25">
      <c r="I19655" s="199"/>
      <c r="J19655" s="199"/>
    </row>
    <row r="19656" spans="9:10" x14ac:dyDescent="0.25">
      <c r="I19656" s="199"/>
      <c r="J19656" s="199"/>
    </row>
    <row r="19657" spans="9:10" x14ac:dyDescent="0.25">
      <c r="I19657" s="199"/>
      <c r="J19657" s="199"/>
    </row>
    <row r="19658" spans="9:10" x14ac:dyDescent="0.25">
      <c r="I19658" s="199"/>
      <c r="J19658" s="199"/>
    </row>
    <row r="19659" spans="9:10" x14ac:dyDescent="0.25">
      <c r="I19659" s="199"/>
      <c r="J19659" s="199"/>
    </row>
    <row r="19660" spans="9:10" x14ac:dyDescent="0.25">
      <c r="I19660" s="199"/>
      <c r="J19660" s="199"/>
    </row>
    <row r="19661" spans="9:10" x14ac:dyDescent="0.25">
      <c r="I19661" s="199"/>
      <c r="J19661" s="199"/>
    </row>
    <row r="19662" spans="9:10" x14ac:dyDescent="0.25">
      <c r="I19662" s="199"/>
      <c r="J19662" s="199"/>
    </row>
    <row r="19663" spans="9:10" x14ac:dyDescent="0.25">
      <c r="I19663" s="199"/>
      <c r="J19663" s="199"/>
    </row>
    <row r="19664" spans="9:10" x14ac:dyDescent="0.25">
      <c r="I19664" s="199"/>
      <c r="J19664" s="199"/>
    </row>
    <row r="19665" spans="9:10" x14ac:dyDescent="0.25">
      <c r="I19665" s="199"/>
      <c r="J19665" s="199"/>
    </row>
    <row r="19666" spans="9:10" x14ac:dyDescent="0.25">
      <c r="I19666" s="199"/>
      <c r="J19666" s="199"/>
    </row>
    <row r="19667" spans="9:10" x14ac:dyDescent="0.25">
      <c r="I19667" s="199"/>
      <c r="J19667" s="199"/>
    </row>
    <row r="19668" spans="9:10" x14ac:dyDescent="0.25">
      <c r="I19668" s="199"/>
      <c r="J19668" s="199"/>
    </row>
    <row r="19669" spans="9:10" x14ac:dyDescent="0.25">
      <c r="I19669" s="199"/>
      <c r="J19669" s="199"/>
    </row>
    <row r="19670" spans="9:10" x14ac:dyDescent="0.25">
      <c r="I19670" s="199"/>
      <c r="J19670" s="199"/>
    </row>
    <row r="19671" spans="9:10" x14ac:dyDescent="0.25">
      <c r="I19671" s="199"/>
      <c r="J19671" s="199"/>
    </row>
    <row r="19672" spans="9:10" x14ac:dyDescent="0.25">
      <c r="I19672" s="199"/>
      <c r="J19672" s="199"/>
    </row>
    <row r="19673" spans="9:10" x14ac:dyDescent="0.25">
      <c r="I19673" s="199"/>
      <c r="J19673" s="199"/>
    </row>
    <row r="19674" spans="9:10" x14ac:dyDescent="0.25">
      <c r="I19674" s="199"/>
      <c r="J19674" s="199"/>
    </row>
    <row r="19675" spans="9:10" x14ac:dyDescent="0.25">
      <c r="I19675" s="199"/>
      <c r="J19675" s="199"/>
    </row>
    <row r="19676" spans="9:10" x14ac:dyDescent="0.25">
      <c r="I19676" s="199"/>
      <c r="J19676" s="199"/>
    </row>
    <row r="19677" spans="9:10" x14ac:dyDescent="0.25">
      <c r="I19677" s="199"/>
      <c r="J19677" s="199"/>
    </row>
    <row r="19678" spans="9:10" x14ac:dyDescent="0.25">
      <c r="I19678" s="199"/>
      <c r="J19678" s="199"/>
    </row>
    <row r="19679" spans="9:10" x14ac:dyDescent="0.25">
      <c r="I19679" s="199"/>
      <c r="J19679" s="199"/>
    </row>
    <row r="19680" spans="9:10" x14ac:dyDescent="0.25">
      <c r="I19680" s="199"/>
      <c r="J19680" s="199"/>
    </row>
    <row r="19681" spans="9:10" x14ac:dyDescent="0.25">
      <c r="I19681" s="199"/>
      <c r="J19681" s="199"/>
    </row>
    <row r="19682" spans="9:10" x14ac:dyDescent="0.25">
      <c r="I19682" s="199"/>
      <c r="J19682" s="199"/>
    </row>
    <row r="19683" spans="9:10" x14ac:dyDescent="0.25">
      <c r="I19683" s="199"/>
      <c r="J19683" s="199"/>
    </row>
    <row r="19684" spans="9:10" x14ac:dyDescent="0.25">
      <c r="I19684" s="199"/>
      <c r="J19684" s="199"/>
    </row>
    <row r="19685" spans="9:10" x14ac:dyDescent="0.25">
      <c r="I19685" s="199"/>
      <c r="J19685" s="199"/>
    </row>
    <row r="19686" spans="9:10" x14ac:dyDescent="0.25">
      <c r="I19686" s="199"/>
      <c r="J19686" s="199"/>
    </row>
    <row r="19687" spans="9:10" x14ac:dyDescent="0.25">
      <c r="I19687" s="199"/>
      <c r="J19687" s="199"/>
    </row>
    <row r="19688" spans="9:10" x14ac:dyDescent="0.25">
      <c r="I19688" s="199"/>
      <c r="J19688" s="199"/>
    </row>
    <row r="19689" spans="9:10" x14ac:dyDescent="0.25">
      <c r="I19689" s="199"/>
      <c r="J19689" s="199"/>
    </row>
    <row r="19690" spans="9:10" x14ac:dyDescent="0.25">
      <c r="I19690" s="199"/>
      <c r="J19690" s="199"/>
    </row>
    <row r="19691" spans="9:10" x14ac:dyDescent="0.25">
      <c r="I19691" s="199"/>
      <c r="J19691" s="199"/>
    </row>
    <row r="19692" spans="9:10" x14ac:dyDescent="0.25">
      <c r="I19692" s="199"/>
      <c r="J19692" s="199"/>
    </row>
    <row r="19693" spans="9:10" x14ac:dyDescent="0.25">
      <c r="I19693" s="199"/>
      <c r="J19693" s="199"/>
    </row>
    <row r="19694" spans="9:10" x14ac:dyDescent="0.25">
      <c r="I19694" s="199"/>
      <c r="J19694" s="199"/>
    </row>
    <row r="19695" spans="9:10" x14ac:dyDescent="0.25">
      <c r="I19695" s="199"/>
      <c r="J19695" s="199"/>
    </row>
    <row r="19696" spans="9:10" x14ac:dyDescent="0.25">
      <c r="I19696" s="199"/>
      <c r="J19696" s="199"/>
    </row>
    <row r="19697" spans="9:10" x14ac:dyDescent="0.25">
      <c r="I19697" s="199"/>
      <c r="J19697" s="199"/>
    </row>
    <row r="19698" spans="9:10" x14ac:dyDescent="0.25">
      <c r="I19698" s="199"/>
      <c r="J19698" s="199"/>
    </row>
    <row r="19699" spans="9:10" x14ac:dyDescent="0.25">
      <c r="I19699" s="199"/>
      <c r="J19699" s="199"/>
    </row>
    <row r="19700" spans="9:10" x14ac:dyDescent="0.25">
      <c r="I19700" s="199"/>
      <c r="J19700" s="199"/>
    </row>
    <row r="19701" spans="9:10" x14ac:dyDescent="0.25">
      <c r="I19701" s="199"/>
      <c r="J19701" s="199"/>
    </row>
    <row r="19702" spans="9:10" x14ac:dyDescent="0.25">
      <c r="I19702" s="199"/>
      <c r="J19702" s="199"/>
    </row>
    <row r="19703" spans="9:10" x14ac:dyDescent="0.25">
      <c r="I19703" s="199"/>
      <c r="J19703" s="199"/>
    </row>
    <row r="19704" spans="9:10" x14ac:dyDescent="0.25">
      <c r="I19704" s="199"/>
      <c r="J19704" s="199"/>
    </row>
    <row r="19705" spans="9:10" x14ac:dyDescent="0.25">
      <c r="I19705" s="199"/>
      <c r="J19705" s="199"/>
    </row>
    <row r="19706" spans="9:10" x14ac:dyDescent="0.25">
      <c r="I19706" s="199"/>
      <c r="J19706" s="199"/>
    </row>
    <row r="19707" spans="9:10" x14ac:dyDescent="0.25">
      <c r="I19707" s="199"/>
      <c r="J19707" s="199"/>
    </row>
    <row r="19708" spans="9:10" x14ac:dyDescent="0.25">
      <c r="I19708" s="199"/>
      <c r="J19708" s="199"/>
    </row>
    <row r="19709" spans="9:10" x14ac:dyDescent="0.25">
      <c r="I19709" s="199"/>
      <c r="J19709" s="199"/>
    </row>
    <row r="19710" spans="9:10" x14ac:dyDescent="0.25">
      <c r="I19710" s="199"/>
      <c r="J19710" s="199"/>
    </row>
    <row r="19711" spans="9:10" x14ac:dyDescent="0.25">
      <c r="I19711" s="199"/>
      <c r="J19711" s="199"/>
    </row>
    <row r="19712" spans="9:10" x14ac:dyDescent="0.25">
      <c r="I19712" s="199"/>
      <c r="J19712" s="199"/>
    </row>
    <row r="19713" spans="9:10" x14ac:dyDescent="0.25">
      <c r="I19713" s="199"/>
      <c r="J19713" s="199"/>
    </row>
    <row r="19714" spans="9:10" x14ac:dyDescent="0.25">
      <c r="I19714" s="199"/>
      <c r="J19714" s="199"/>
    </row>
    <row r="19715" spans="9:10" x14ac:dyDescent="0.25">
      <c r="I19715" s="199"/>
      <c r="J19715" s="199"/>
    </row>
    <row r="19716" spans="9:10" x14ac:dyDescent="0.25">
      <c r="I19716" s="199"/>
      <c r="J19716" s="199"/>
    </row>
    <row r="19717" spans="9:10" x14ac:dyDescent="0.25">
      <c r="I19717" s="199"/>
      <c r="J19717" s="199"/>
    </row>
    <row r="19718" spans="9:10" x14ac:dyDescent="0.25">
      <c r="I19718" s="199"/>
      <c r="J19718" s="199"/>
    </row>
    <row r="19719" spans="9:10" x14ac:dyDescent="0.25">
      <c r="I19719" s="199"/>
      <c r="J19719" s="199"/>
    </row>
    <row r="19720" spans="9:10" x14ac:dyDescent="0.25">
      <c r="I19720" s="199"/>
      <c r="J19720" s="199"/>
    </row>
    <row r="19721" spans="9:10" x14ac:dyDescent="0.25">
      <c r="I19721" s="199"/>
      <c r="J19721" s="199"/>
    </row>
    <row r="19722" spans="9:10" x14ac:dyDescent="0.25">
      <c r="I19722" s="199"/>
      <c r="J19722" s="199"/>
    </row>
    <row r="19723" spans="9:10" x14ac:dyDescent="0.25">
      <c r="I19723" s="199"/>
      <c r="J19723" s="199"/>
    </row>
    <row r="19724" spans="9:10" x14ac:dyDescent="0.25">
      <c r="I19724" s="199"/>
      <c r="J19724" s="199"/>
    </row>
    <row r="19725" spans="9:10" x14ac:dyDescent="0.25">
      <c r="I19725" s="199"/>
      <c r="J19725" s="199"/>
    </row>
    <row r="19726" spans="9:10" x14ac:dyDescent="0.25">
      <c r="I19726" s="199"/>
      <c r="J19726" s="199"/>
    </row>
    <row r="19727" spans="9:10" x14ac:dyDescent="0.25">
      <c r="I19727" s="199"/>
      <c r="J19727" s="199"/>
    </row>
    <row r="19728" spans="9:10" x14ac:dyDescent="0.25">
      <c r="I19728" s="199"/>
      <c r="J19728" s="199"/>
    </row>
    <row r="19729" spans="9:10" x14ac:dyDescent="0.25">
      <c r="I19729" s="199"/>
      <c r="J19729" s="199"/>
    </row>
    <row r="19730" spans="9:10" x14ac:dyDescent="0.25">
      <c r="I19730" s="199"/>
      <c r="J19730" s="199"/>
    </row>
    <row r="19731" spans="9:10" x14ac:dyDescent="0.25">
      <c r="I19731" s="199"/>
      <c r="J19731" s="199"/>
    </row>
    <row r="19732" spans="9:10" x14ac:dyDescent="0.25">
      <c r="I19732" s="199"/>
      <c r="J19732" s="199"/>
    </row>
    <row r="19733" spans="9:10" x14ac:dyDescent="0.25">
      <c r="I19733" s="199"/>
      <c r="J19733" s="199"/>
    </row>
    <row r="19734" spans="9:10" x14ac:dyDescent="0.25">
      <c r="I19734" s="199"/>
      <c r="J19734" s="199"/>
    </row>
    <row r="19735" spans="9:10" x14ac:dyDescent="0.25">
      <c r="I19735" s="199"/>
      <c r="J19735" s="199"/>
    </row>
    <row r="19736" spans="9:10" x14ac:dyDescent="0.25">
      <c r="I19736" s="199"/>
      <c r="J19736" s="199"/>
    </row>
    <row r="19737" spans="9:10" x14ac:dyDescent="0.25">
      <c r="I19737" s="199"/>
      <c r="J19737" s="199"/>
    </row>
    <row r="19738" spans="9:10" x14ac:dyDescent="0.25">
      <c r="I19738" s="199"/>
      <c r="J19738" s="199"/>
    </row>
    <row r="19739" spans="9:10" x14ac:dyDescent="0.25">
      <c r="I19739" s="199"/>
      <c r="J19739" s="199"/>
    </row>
    <row r="19740" spans="9:10" x14ac:dyDescent="0.25">
      <c r="I19740" s="199"/>
      <c r="J19740" s="199"/>
    </row>
    <row r="19741" spans="9:10" x14ac:dyDescent="0.25">
      <c r="I19741" s="199"/>
      <c r="J19741" s="199"/>
    </row>
    <row r="19742" spans="9:10" x14ac:dyDescent="0.25">
      <c r="I19742" s="199"/>
      <c r="J19742" s="199"/>
    </row>
    <row r="19743" spans="9:10" x14ac:dyDescent="0.25">
      <c r="I19743" s="199"/>
      <c r="J19743" s="199"/>
    </row>
    <row r="19744" spans="9:10" x14ac:dyDescent="0.25">
      <c r="I19744" s="199"/>
      <c r="J19744" s="199"/>
    </row>
    <row r="19745" spans="9:10" x14ac:dyDescent="0.25">
      <c r="I19745" s="199"/>
      <c r="J19745" s="199"/>
    </row>
    <row r="19746" spans="9:10" x14ac:dyDescent="0.25">
      <c r="I19746" s="199"/>
      <c r="J19746" s="199"/>
    </row>
    <row r="19747" spans="9:10" x14ac:dyDescent="0.25">
      <c r="I19747" s="199"/>
      <c r="J19747" s="199"/>
    </row>
    <row r="19748" spans="9:10" x14ac:dyDescent="0.25">
      <c r="I19748" s="199"/>
      <c r="J19748" s="199"/>
    </row>
    <row r="19749" spans="9:10" x14ac:dyDescent="0.25">
      <c r="I19749" s="199"/>
      <c r="J19749" s="199"/>
    </row>
    <row r="19750" spans="9:10" x14ac:dyDescent="0.25">
      <c r="I19750" s="199"/>
      <c r="J19750" s="199"/>
    </row>
    <row r="19751" spans="9:10" x14ac:dyDescent="0.25">
      <c r="I19751" s="199"/>
      <c r="J19751" s="199"/>
    </row>
    <row r="19752" spans="9:10" x14ac:dyDescent="0.25">
      <c r="I19752" s="199"/>
      <c r="J19752" s="199"/>
    </row>
    <row r="19753" spans="9:10" x14ac:dyDescent="0.25">
      <c r="I19753" s="199"/>
      <c r="J19753" s="199"/>
    </row>
    <row r="19754" spans="9:10" x14ac:dyDescent="0.25">
      <c r="I19754" s="199"/>
      <c r="J19754" s="199"/>
    </row>
    <row r="19755" spans="9:10" x14ac:dyDescent="0.25">
      <c r="I19755" s="199"/>
      <c r="J19755" s="199"/>
    </row>
    <row r="19756" spans="9:10" x14ac:dyDescent="0.25">
      <c r="I19756" s="199"/>
      <c r="J19756" s="199"/>
    </row>
    <row r="19757" spans="9:10" x14ac:dyDescent="0.25">
      <c r="I19757" s="199"/>
      <c r="J19757" s="199"/>
    </row>
    <row r="19758" spans="9:10" x14ac:dyDescent="0.25">
      <c r="I19758" s="199"/>
      <c r="J19758" s="199"/>
    </row>
    <row r="19759" spans="9:10" x14ac:dyDescent="0.25">
      <c r="I19759" s="199"/>
      <c r="J19759" s="199"/>
    </row>
    <row r="19760" spans="9:10" x14ac:dyDescent="0.25">
      <c r="I19760" s="199"/>
      <c r="J19760" s="199"/>
    </row>
    <row r="19761" spans="9:10" x14ac:dyDescent="0.25">
      <c r="I19761" s="199"/>
      <c r="J19761" s="199"/>
    </row>
    <row r="19762" spans="9:10" x14ac:dyDescent="0.25">
      <c r="I19762" s="199"/>
      <c r="J19762" s="199"/>
    </row>
    <row r="19763" spans="9:10" x14ac:dyDescent="0.25">
      <c r="I19763" s="199"/>
      <c r="J19763" s="199"/>
    </row>
    <row r="19764" spans="9:10" x14ac:dyDescent="0.25">
      <c r="I19764" s="199"/>
      <c r="J19764" s="199"/>
    </row>
    <row r="19765" spans="9:10" x14ac:dyDescent="0.25">
      <c r="I19765" s="199"/>
      <c r="J19765" s="199"/>
    </row>
    <row r="19766" spans="9:10" x14ac:dyDescent="0.25">
      <c r="I19766" s="199"/>
      <c r="J19766" s="199"/>
    </row>
    <row r="19767" spans="9:10" x14ac:dyDescent="0.25">
      <c r="I19767" s="199"/>
      <c r="J19767" s="199"/>
    </row>
    <row r="19768" spans="9:10" x14ac:dyDescent="0.25">
      <c r="I19768" s="199"/>
      <c r="J19768" s="199"/>
    </row>
    <row r="19769" spans="9:10" x14ac:dyDescent="0.25">
      <c r="I19769" s="199"/>
      <c r="J19769" s="199"/>
    </row>
    <row r="19770" spans="9:10" x14ac:dyDescent="0.25">
      <c r="I19770" s="199"/>
      <c r="J19770" s="199"/>
    </row>
    <row r="19771" spans="9:10" x14ac:dyDescent="0.25">
      <c r="I19771" s="199"/>
      <c r="J19771" s="199"/>
    </row>
    <row r="19772" spans="9:10" x14ac:dyDescent="0.25">
      <c r="I19772" s="199"/>
      <c r="J19772" s="199"/>
    </row>
    <row r="19773" spans="9:10" x14ac:dyDescent="0.25">
      <c r="I19773" s="199"/>
      <c r="J19773" s="199"/>
    </row>
    <row r="19774" spans="9:10" x14ac:dyDescent="0.25">
      <c r="I19774" s="199"/>
      <c r="J19774" s="199"/>
    </row>
    <row r="19775" spans="9:10" x14ac:dyDescent="0.25">
      <c r="I19775" s="199"/>
      <c r="J19775" s="199"/>
    </row>
    <row r="19776" spans="9:10" x14ac:dyDescent="0.25">
      <c r="I19776" s="199"/>
      <c r="J19776" s="199"/>
    </row>
    <row r="19777" spans="9:10" x14ac:dyDescent="0.25">
      <c r="I19777" s="199"/>
      <c r="J19777" s="199"/>
    </row>
    <row r="19778" spans="9:10" x14ac:dyDescent="0.25">
      <c r="I19778" s="199"/>
      <c r="J19778" s="199"/>
    </row>
    <row r="19779" spans="9:10" x14ac:dyDescent="0.25">
      <c r="I19779" s="199"/>
      <c r="J19779" s="199"/>
    </row>
    <row r="19780" spans="9:10" x14ac:dyDescent="0.25">
      <c r="I19780" s="199"/>
      <c r="J19780" s="199"/>
    </row>
    <row r="19781" spans="9:10" x14ac:dyDescent="0.25">
      <c r="I19781" s="199"/>
      <c r="J19781" s="199"/>
    </row>
    <row r="19782" spans="9:10" x14ac:dyDescent="0.25">
      <c r="I19782" s="199"/>
      <c r="J19782" s="199"/>
    </row>
    <row r="19783" spans="9:10" x14ac:dyDescent="0.25">
      <c r="I19783" s="199"/>
      <c r="J19783" s="199"/>
    </row>
    <row r="19784" spans="9:10" x14ac:dyDescent="0.25">
      <c r="I19784" s="199"/>
      <c r="J19784" s="199"/>
    </row>
    <row r="19785" spans="9:10" x14ac:dyDescent="0.25">
      <c r="I19785" s="199"/>
      <c r="J19785" s="199"/>
    </row>
    <row r="19786" spans="9:10" x14ac:dyDescent="0.25">
      <c r="I19786" s="199"/>
      <c r="J19786" s="199"/>
    </row>
    <row r="19787" spans="9:10" x14ac:dyDescent="0.25">
      <c r="I19787" s="199"/>
      <c r="J19787" s="199"/>
    </row>
    <row r="19788" spans="9:10" x14ac:dyDescent="0.25">
      <c r="I19788" s="199"/>
      <c r="J19788" s="199"/>
    </row>
    <row r="19789" spans="9:10" x14ac:dyDescent="0.25">
      <c r="I19789" s="199"/>
      <c r="J19789" s="199"/>
    </row>
    <row r="19790" spans="9:10" x14ac:dyDescent="0.25">
      <c r="I19790" s="199"/>
      <c r="J19790" s="199"/>
    </row>
    <row r="19791" spans="9:10" x14ac:dyDescent="0.25">
      <c r="I19791" s="199"/>
      <c r="J19791" s="199"/>
    </row>
    <row r="19792" spans="9:10" x14ac:dyDescent="0.25">
      <c r="I19792" s="199"/>
      <c r="J19792" s="199"/>
    </row>
    <row r="19793" spans="9:10" x14ac:dyDescent="0.25">
      <c r="I19793" s="199"/>
      <c r="J19793" s="199"/>
    </row>
    <row r="19794" spans="9:10" x14ac:dyDescent="0.25">
      <c r="I19794" s="199"/>
      <c r="J19794" s="199"/>
    </row>
    <row r="19795" spans="9:10" x14ac:dyDescent="0.25">
      <c r="I19795" s="199"/>
      <c r="J19795" s="199"/>
    </row>
    <row r="19796" spans="9:10" x14ac:dyDescent="0.25">
      <c r="I19796" s="199"/>
      <c r="J19796" s="199"/>
    </row>
    <row r="19797" spans="9:10" x14ac:dyDescent="0.25">
      <c r="I19797" s="199"/>
      <c r="J19797" s="199"/>
    </row>
    <row r="19798" spans="9:10" x14ac:dyDescent="0.25">
      <c r="I19798" s="199"/>
      <c r="J19798" s="199"/>
    </row>
    <row r="19799" spans="9:10" x14ac:dyDescent="0.25">
      <c r="I19799" s="199"/>
      <c r="J19799" s="199"/>
    </row>
    <row r="19800" spans="9:10" x14ac:dyDescent="0.25">
      <c r="I19800" s="199"/>
      <c r="J19800" s="199"/>
    </row>
    <row r="19801" spans="9:10" x14ac:dyDescent="0.25">
      <c r="I19801" s="199"/>
      <c r="J19801" s="199"/>
    </row>
    <row r="19802" spans="9:10" x14ac:dyDescent="0.25">
      <c r="I19802" s="199"/>
      <c r="J19802" s="199"/>
    </row>
    <row r="19803" spans="9:10" x14ac:dyDescent="0.25">
      <c r="I19803" s="199"/>
      <c r="J19803" s="199"/>
    </row>
    <row r="19804" spans="9:10" x14ac:dyDescent="0.25">
      <c r="I19804" s="199"/>
      <c r="J19804" s="199"/>
    </row>
    <row r="19805" spans="9:10" x14ac:dyDescent="0.25">
      <c r="I19805" s="199"/>
      <c r="J19805" s="199"/>
    </row>
    <row r="19806" spans="9:10" x14ac:dyDescent="0.25">
      <c r="I19806" s="199"/>
      <c r="J19806" s="199"/>
    </row>
    <row r="19807" spans="9:10" x14ac:dyDescent="0.25">
      <c r="I19807" s="199"/>
      <c r="J19807" s="199"/>
    </row>
    <row r="19808" spans="9:10" x14ac:dyDescent="0.25">
      <c r="I19808" s="199"/>
      <c r="J19808" s="199"/>
    </row>
    <row r="19809" spans="9:10" x14ac:dyDescent="0.25">
      <c r="I19809" s="199"/>
      <c r="J19809" s="199"/>
    </row>
    <row r="19810" spans="9:10" x14ac:dyDescent="0.25">
      <c r="I19810" s="199"/>
      <c r="J19810" s="199"/>
    </row>
    <row r="19811" spans="9:10" x14ac:dyDescent="0.25">
      <c r="I19811" s="199"/>
      <c r="J19811" s="199"/>
    </row>
    <row r="19812" spans="9:10" x14ac:dyDescent="0.25">
      <c r="I19812" s="199"/>
      <c r="J19812" s="199"/>
    </row>
    <row r="19813" spans="9:10" x14ac:dyDescent="0.25">
      <c r="I19813" s="199"/>
      <c r="J19813" s="199"/>
    </row>
    <row r="19814" spans="9:10" x14ac:dyDescent="0.25">
      <c r="I19814" s="199"/>
      <c r="J19814" s="199"/>
    </row>
    <row r="19815" spans="9:10" x14ac:dyDescent="0.25">
      <c r="I19815" s="199"/>
      <c r="J19815" s="199"/>
    </row>
    <row r="19816" spans="9:10" x14ac:dyDescent="0.25">
      <c r="I19816" s="199"/>
      <c r="J19816" s="199"/>
    </row>
    <row r="19817" spans="9:10" x14ac:dyDescent="0.25">
      <c r="I19817" s="199"/>
      <c r="J19817" s="199"/>
    </row>
    <row r="19818" spans="9:10" x14ac:dyDescent="0.25">
      <c r="I19818" s="199"/>
      <c r="J19818" s="199"/>
    </row>
    <row r="19819" spans="9:10" x14ac:dyDescent="0.25">
      <c r="I19819" s="199"/>
      <c r="J19819" s="199"/>
    </row>
    <row r="19820" spans="9:10" x14ac:dyDescent="0.25">
      <c r="I19820" s="199"/>
      <c r="J19820" s="199"/>
    </row>
    <row r="19821" spans="9:10" x14ac:dyDescent="0.25">
      <c r="I19821" s="199"/>
      <c r="J19821" s="199"/>
    </row>
    <row r="19822" spans="9:10" x14ac:dyDescent="0.25">
      <c r="I19822" s="199"/>
      <c r="J19822" s="199"/>
    </row>
    <row r="19823" spans="9:10" x14ac:dyDescent="0.25">
      <c r="I19823" s="199"/>
      <c r="J19823" s="199"/>
    </row>
    <row r="19824" spans="9:10" x14ac:dyDescent="0.25">
      <c r="I19824" s="199"/>
      <c r="J19824" s="199"/>
    </row>
    <row r="19825" spans="9:10" x14ac:dyDescent="0.25">
      <c r="I19825" s="199"/>
      <c r="J19825" s="199"/>
    </row>
    <row r="19826" spans="9:10" x14ac:dyDescent="0.25">
      <c r="I19826" s="199"/>
      <c r="J19826" s="199"/>
    </row>
    <row r="19827" spans="9:10" x14ac:dyDescent="0.25">
      <c r="I19827" s="199"/>
      <c r="J19827" s="199"/>
    </row>
    <row r="19828" spans="9:10" x14ac:dyDescent="0.25">
      <c r="I19828" s="199"/>
      <c r="J19828" s="199"/>
    </row>
    <row r="19829" spans="9:10" x14ac:dyDescent="0.25">
      <c r="I19829" s="199"/>
      <c r="J19829" s="199"/>
    </row>
    <row r="19830" spans="9:10" x14ac:dyDescent="0.25">
      <c r="I19830" s="199"/>
      <c r="J19830" s="199"/>
    </row>
    <row r="19831" spans="9:10" x14ac:dyDescent="0.25">
      <c r="I19831" s="199"/>
      <c r="J19831" s="199"/>
    </row>
    <row r="19832" spans="9:10" x14ac:dyDescent="0.25">
      <c r="I19832" s="199"/>
      <c r="J19832" s="199"/>
    </row>
    <row r="19833" spans="9:10" x14ac:dyDescent="0.25">
      <c r="I19833" s="199"/>
      <c r="J19833" s="199"/>
    </row>
    <row r="19834" spans="9:10" x14ac:dyDescent="0.25">
      <c r="I19834" s="199"/>
      <c r="J19834" s="199"/>
    </row>
    <row r="19835" spans="9:10" x14ac:dyDescent="0.25">
      <c r="I19835" s="199"/>
      <c r="J19835" s="199"/>
    </row>
    <row r="19836" spans="9:10" x14ac:dyDescent="0.25">
      <c r="I19836" s="199"/>
      <c r="J19836" s="199"/>
    </row>
    <row r="19837" spans="9:10" x14ac:dyDescent="0.25">
      <c r="I19837" s="199"/>
      <c r="J19837" s="199"/>
    </row>
    <row r="19838" spans="9:10" x14ac:dyDescent="0.25">
      <c r="I19838" s="199"/>
      <c r="J19838" s="199"/>
    </row>
    <row r="19839" spans="9:10" x14ac:dyDescent="0.25">
      <c r="I19839" s="199"/>
      <c r="J19839" s="199"/>
    </row>
    <row r="19840" spans="9:10" x14ac:dyDescent="0.25">
      <c r="I19840" s="199"/>
      <c r="J19840" s="199"/>
    </row>
    <row r="19841" spans="9:10" x14ac:dyDescent="0.25">
      <c r="I19841" s="199"/>
      <c r="J19841" s="199"/>
    </row>
    <row r="19842" spans="9:10" x14ac:dyDescent="0.25">
      <c r="I19842" s="199"/>
      <c r="J19842" s="199"/>
    </row>
    <row r="19843" spans="9:10" x14ac:dyDescent="0.25">
      <c r="I19843" s="199"/>
      <c r="J19843" s="199"/>
    </row>
    <row r="19844" spans="9:10" x14ac:dyDescent="0.25">
      <c r="I19844" s="199"/>
      <c r="J19844" s="199"/>
    </row>
    <row r="19845" spans="9:10" x14ac:dyDescent="0.25">
      <c r="I19845" s="199"/>
      <c r="J19845" s="199"/>
    </row>
    <row r="19846" spans="9:10" x14ac:dyDescent="0.25">
      <c r="I19846" s="199"/>
      <c r="J19846" s="199"/>
    </row>
    <row r="19847" spans="9:10" x14ac:dyDescent="0.25">
      <c r="I19847" s="199"/>
      <c r="J19847" s="199"/>
    </row>
    <row r="19848" spans="9:10" x14ac:dyDescent="0.25">
      <c r="I19848" s="199"/>
      <c r="J19848" s="199"/>
    </row>
    <row r="19849" spans="9:10" x14ac:dyDescent="0.25">
      <c r="I19849" s="199"/>
      <c r="J19849" s="199"/>
    </row>
    <row r="19850" spans="9:10" x14ac:dyDescent="0.25">
      <c r="I19850" s="199"/>
      <c r="J19850" s="199"/>
    </row>
    <row r="19851" spans="9:10" x14ac:dyDescent="0.25">
      <c r="I19851" s="199"/>
      <c r="J19851" s="199"/>
    </row>
    <row r="19852" spans="9:10" x14ac:dyDescent="0.25">
      <c r="I19852" s="199"/>
      <c r="J19852" s="199"/>
    </row>
    <row r="19853" spans="9:10" x14ac:dyDescent="0.25">
      <c r="I19853" s="199"/>
      <c r="J19853" s="199"/>
    </row>
    <row r="19854" spans="9:10" x14ac:dyDescent="0.25">
      <c r="I19854" s="199"/>
      <c r="J19854" s="199"/>
    </row>
    <row r="19855" spans="9:10" x14ac:dyDescent="0.25">
      <c r="I19855" s="199"/>
      <c r="J19855" s="199"/>
    </row>
    <row r="19856" spans="9:10" x14ac:dyDescent="0.25">
      <c r="I19856" s="199"/>
      <c r="J19856" s="199"/>
    </row>
    <row r="19857" spans="9:10" x14ac:dyDescent="0.25">
      <c r="I19857" s="199"/>
      <c r="J19857" s="199"/>
    </row>
    <row r="19858" spans="9:10" x14ac:dyDescent="0.25">
      <c r="I19858" s="199"/>
      <c r="J19858" s="199"/>
    </row>
    <row r="19859" spans="9:10" x14ac:dyDescent="0.25">
      <c r="I19859" s="199"/>
      <c r="J19859" s="199"/>
    </row>
    <row r="19860" spans="9:10" x14ac:dyDescent="0.25">
      <c r="I19860" s="199"/>
      <c r="J19860" s="199"/>
    </row>
    <row r="19861" spans="9:10" x14ac:dyDescent="0.25">
      <c r="I19861" s="199"/>
      <c r="J19861" s="199"/>
    </row>
    <row r="19862" spans="9:10" x14ac:dyDescent="0.25">
      <c r="I19862" s="199"/>
      <c r="J19862" s="199"/>
    </row>
    <row r="19863" spans="9:10" x14ac:dyDescent="0.25">
      <c r="I19863" s="199"/>
      <c r="J19863" s="199"/>
    </row>
    <row r="19864" spans="9:10" x14ac:dyDescent="0.25">
      <c r="I19864" s="199"/>
      <c r="J19864" s="199"/>
    </row>
    <row r="19865" spans="9:10" x14ac:dyDescent="0.25">
      <c r="I19865" s="199"/>
      <c r="J19865" s="199"/>
    </row>
    <row r="19866" spans="9:10" x14ac:dyDescent="0.25">
      <c r="I19866" s="199"/>
      <c r="J19866" s="199"/>
    </row>
    <row r="19867" spans="9:10" x14ac:dyDescent="0.25">
      <c r="I19867" s="199"/>
      <c r="J19867" s="199"/>
    </row>
    <row r="19868" spans="9:10" x14ac:dyDescent="0.25">
      <c r="I19868" s="199"/>
      <c r="J19868" s="199"/>
    </row>
    <row r="19869" spans="9:10" x14ac:dyDescent="0.25">
      <c r="I19869" s="199"/>
      <c r="J19869" s="199"/>
    </row>
    <row r="19870" spans="9:10" x14ac:dyDescent="0.25">
      <c r="I19870" s="199"/>
      <c r="J19870" s="199"/>
    </row>
    <row r="19871" spans="9:10" x14ac:dyDescent="0.25">
      <c r="I19871" s="199"/>
      <c r="J19871" s="199"/>
    </row>
    <row r="19872" spans="9:10" x14ac:dyDescent="0.25">
      <c r="I19872" s="199"/>
      <c r="J19872" s="199"/>
    </row>
    <row r="19873" spans="9:10" x14ac:dyDescent="0.25">
      <c r="I19873" s="199"/>
      <c r="J19873" s="199"/>
    </row>
    <row r="19874" spans="9:10" x14ac:dyDescent="0.25">
      <c r="I19874" s="199"/>
      <c r="J19874" s="199"/>
    </row>
    <row r="19875" spans="9:10" x14ac:dyDescent="0.25">
      <c r="I19875" s="199"/>
      <c r="J19875" s="199"/>
    </row>
    <row r="19876" spans="9:10" x14ac:dyDescent="0.25">
      <c r="I19876" s="199"/>
      <c r="J19876" s="199"/>
    </row>
    <row r="19877" spans="9:10" x14ac:dyDescent="0.25">
      <c r="I19877" s="199"/>
      <c r="J19877" s="199"/>
    </row>
    <row r="19878" spans="9:10" x14ac:dyDescent="0.25">
      <c r="I19878" s="199"/>
      <c r="J19878" s="199"/>
    </row>
    <row r="19879" spans="9:10" x14ac:dyDescent="0.25">
      <c r="I19879" s="199"/>
      <c r="J19879" s="199"/>
    </row>
    <row r="19880" spans="9:10" x14ac:dyDescent="0.25">
      <c r="I19880" s="199"/>
      <c r="J19880" s="199"/>
    </row>
    <row r="19881" spans="9:10" x14ac:dyDescent="0.25">
      <c r="I19881" s="199"/>
      <c r="J19881" s="199"/>
    </row>
    <row r="19882" spans="9:10" x14ac:dyDescent="0.25">
      <c r="I19882" s="199"/>
      <c r="J19882" s="199"/>
    </row>
    <row r="19883" spans="9:10" x14ac:dyDescent="0.25">
      <c r="I19883" s="199"/>
      <c r="J19883" s="199"/>
    </row>
    <row r="19884" spans="9:10" x14ac:dyDescent="0.25">
      <c r="I19884" s="199"/>
      <c r="J19884" s="199"/>
    </row>
    <row r="19885" spans="9:10" x14ac:dyDescent="0.25">
      <c r="I19885" s="199"/>
      <c r="J19885" s="199"/>
    </row>
    <row r="19886" spans="9:10" x14ac:dyDescent="0.25">
      <c r="I19886" s="199"/>
      <c r="J19886" s="199"/>
    </row>
    <row r="19887" spans="9:10" x14ac:dyDescent="0.25">
      <c r="I19887" s="199"/>
      <c r="J19887" s="199"/>
    </row>
    <row r="19888" spans="9:10" x14ac:dyDescent="0.25">
      <c r="I19888" s="199"/>
      <c r="J19888" s="199"/>
    </row>
    <row r="19889" spans="9:10" x14ac:dyDescent="0.25">
      <c r="I19889" s="199"/>
      <c r="J19889" s="199"/>
    </row>
    <row r="19890" spans="9:10" x14ac:dyDescent="0.25">
      <c r="I19890" s="199"/>
      <c r="J19890" s="199"/>
    </row>
    <row r="19891" spans="9:10" x14ac:dyDescent="0.25">
      <c r="I19891" s="199"/>
      <c r="J19891" s="199"/>
    </row>
    <row r="19892" spans="9:10" x14ac:dyDescent="0.25">
      <c r="I19892" s="199"/>
      <c r="J19892" s="199"/>
    </row>
    <row r="19893" spans="9:10" x14ac:dyDescent="0.25">
      <c r="I19893" s="199"/>
      <c r="J19893" s="199"/>
    </row>
    <row r="19894" spans="9:10" x14ac:dyDescent="0.25">
      <c r="I19894" s="199"/>
      <c r="J19894" s="199"/>
    </row>
    <row r="19895" spans="9:10" x14ac:dyDescent="0.25">
      <c r="I19895" s="199"/>
      <c r="J19895" s="199"/>
    </row>
    <row r="19896" spans="9:10" x14ac:dyDescent="0.25">
      <c r="I19896" s="199"/>
      <c r="J19896" s="199"/>
    </row>
    <row r="19897" spans="9:10" x14ac:dyDescent="0.25">
      <c r="I19897" s="199"/>
      <c r="J19897" s="199"/>
    </row>
    <row r="19898" spans="9:10" x14ac:dyDescent="0.25">
      <c r="I19898" s="199"/>
      <c r="J19898" s="199"/>
    </row>
    <row r="19899" spans="9:10" x14ac:dyDescent="0.25">
      <c r="I19899" s="199"/>
      <c r="J19899" s="199"/>
    </row>
    <row r="19900" spans="9:10" x14ac:dyDescent="0.25">
      <c r="I19900" s="199"/>
      <c r="J19900" s="199"/>
    </row>
    <row r="19901" spans="9:10" x14ac:dyDescent="0.25">
      <c r="I19901" s="199"/>
      <c r="J19901" s="199"/>
    </row>
    <row r="19902" spans="9:10" x14ac:dyDescent="0.25">
      <c r="I19902" s="199"/>
      <c r="J19902" s="199"/>
    </row>
    <row r="19903" spans="9:10" x14ac:dyDescent="0.25">
      <c r="I19903" s="199"/>
      <c r="J19903" s="199"/>
    </row>
    <row r="19904" spans="9:10" x14ac:dyDescent="0.25">
      <c r="I19904" s="199"/>
      <c r="J19904" s="199"/>
    </row>
    <row r="19905" spans="9:10" x14ac:dyDescent="0.25">
      <c r="I19905" s="199"/>
      <c r="J19905" s="199"/>
    </row>
    <row r="19906" spans="9:10" x14ac:dyDescent="0.25">
      <c r="I19906" s="199"/>
      <c r="J19906" s="199"/>
    </row>
    <row r="19907" spans="9:10" x14ac:dyDescent="0.25">
      <c r="I19907" s="199"/>
      <c r="J19907" s="199"/>
    </row>
    <row r="19908" spans="9:10" x14ac:dyDescent="0.25">
      <c r="I19908" s="199"/>
      <c r="J19908" s="199"/>
    </row>
    <row r="19909" spans="9:10" x14ac:dyDescent="0.25">
      <c r="I19909" s="199"/>
      <c r="J19909" s="199"/>
    </row>
    <row r="19910" spans="9:10" x14ac:dyDescent="0.25">
      <c r="I19910" s="199"/>
      <c r="J19910" s="199"/>
    </row>
    <row r="19911" spans="9:10" x14ac:dyDescent="0.25">
      <c r="I19911" s="199"/>
      <c r="J19911" s="199"/>
    </row>
    <row r="19912" spans="9:10" x14ac:dyDescent="0.25">
      <c r="I19912" s="199"/>
      <c r="J19912" s="199"/>
    </row>
    <row r="19913" spans="9:10" x14ac:dyDescent="0.25">
      <c r="I19913" s="199"/>
      <c r="J19913" s="199"/>
    </row>
    <row r="19914" spans="9:10" x14ac:dyDescent="0.25">
      <c r="I19914" s="199"/>
      <c r="J19914" s="199"/>
    </row>
    <row r="19915" spans="9:10" x14ac:dyDescent="0.25">
      <c r="I19915" s="199"/>
      <c r="J19915" s="199"/>
    </row>
    <row r="19916" spans="9:10" x14ac:dyDescent="0.25">
      <c r="I19916" s="199"/>
      <c r="J19916" s="199"/>
    </row>
    <row r="19917" spans="9:10" x14ac:dyDescent="0.25">
      <c r="I19917" s="199"/>
      <c r="J19917" s="199"/>
    </row>
    <row r="19918" spans="9:10" x14ac:dyDescent="0.25">
      <c r="I19918" s="199"/>
      <c r="J19918" s="199"/>
    </row>
    <row r="19919" spans="9:10" x14ac:dyDescent="0.25">
      <c r="I19919" s="199"/>
      <c r="J19919" s="199"/>
    </row>
    <row r="19920" spans="9:10" x14ac:dyDescent="0.25">
      <c r="I19920" s="199"/>
      <c r="J19920" s="199"/>
    </row>
    <row r="19921" spans="9:10" x14ac:dyDescent="0.25">
      <c r="I19921" s="199"/>
      <c r="J19921" s="199"/>
    </row>
    <row r="19922" spans="9:10" x14ac:dyDescent="0.25">
      <c r="I19922" s="199"/>
      <c r="J19922" s="199"/>
    </row>
    <row r="19923" spans="9:10" x14ac:dyDescent="0.25">
      <c r="I19923" s="199"/>
      <c r="J19923" s="199"/>
    </row>
    <row r="19924" spans="9:10" x14ac:dyDescent="0.25">
      <c r="I19924" s="199"/>
      <c r="J19924" s="199"/>
    </row>
    <row r="19925" spans="9:10" x14ac:dyDescent="0.25">
      <c r="I19925" s="199"/>
      <c r="J19925" s="199"/>
    </row>
    <row r="19926" spans="9:10" x14ac:dyDescent="0.25">
      <c r="I19926" s="199"/>
      <c r="J19926" s="199"/>
    </row>
    <row r="19927" spans="9:10" x14ac:dyDescent="0.25">
      <c r="I19927" s="199"/>
      <c r="J19927" s="199"/>
    </row>
    <row r="19928" spans="9:10" x14ac:dyDescent="0.25">
      <c r="I19928" s="199"/>
      <c r="J19928" s="199"/>
    </row>
    <row r="19929" spans="9:10" x14ac:dyDescent="0.25">
      <c r="I19929" s="199"/>
      <c r="J19929" s="199"/>
    </row>
    <row r="19930" spans="9:10" x14ac:dyDescent="0.25">
      <c r="I19930" s="199"/>
      <c r="J19930" s="199"/>
    </row>
    <row r="19931" spans="9:10" x14ac:dyDescent="0.25">
      <c r="I19931" s="199"/>
      <c r="J19931" s="199"/>
    </row>
    <row r="19932" spans="9:10" x14ac:dyDescent="0.25">
      <c r="I19932" s="199"/>
      <c r="J19932" s="199"/>
    </row>
    <row r="19933" spans="9:10" x14ac:dyDescent="0.25">
      <c r="I19933" s="199"/>
      <c r="J19933" s="199"/>
    </row>
  </sheetData>
  <mergeCells count="7">
    <mergeCell ref="A388:B388"/>
    <mergeCell ref="A159:B159"/>
    <mergeCell ref="A160:B160"/>
    <mergeCell ref="A387:B387"/>
    <mergeCell ref="A45:B45"/>
    <mergeCell ref="A110:B110"/>
    <mergeCell ref="A109:B109"/>
  </mergeCells>
  <pageMargins left="0.5" right="0.21" top="0.9" bottom="0.3" header="0" footer="0.25"/>
  <pageSetup scale="85" pageOrder="overThenDown" orientation="portrait" r:id="rId1"/>
  <headerFooter alignWithMargins="0"/>
  <rowBreaks count="8" manualBreakCount="8">
    <brk id="445" max="16383" man="1"/>
    <brk id="399" max="16383" man="1"/>
    <brk id="2" max="4" man="1"/>
    <brk id="87" max="4" man="1"/>
    <brk id="211" max="4" man="1"/>
    <brk id="247" max="4" man="1"/>
    <brk id="298" max="4" man="1"/>
    <brk id="36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5"/>
  <sheetViews>
    <sheetView zoomScale="90" zoomScaleNormal="90" zoomScaleSheetLayoutView="90" workbookViewId="0">
      <selection activeCell="B48" sqref="B48"/>
    </sheetView>
  </sheetViews>
  <sheetFormatPr defaultColWidth="8.90625" defaultRowHeight="14.4" x14ac:dyDescent="0.3"/>
  <cols>
    <col min="1" max="1" width="2.54296875" style="1014" customWidth="1"/>
    <col min="2" max="2" width="30" style="1014" customWidth="1"/>
    <col min="3" max="4" width="12.90625" style="1014" customWidth="1"/>
    <col min="5" max="5" width="15" style="1014" customWidth="1"/>
    <col min="6" max="16384" width="8.90625" style="4"/>
  </cols>
  <sheetData>
    <row r="1" spans="1:5" ht="15.6" x14ac:dyDescent="0.3">
      <c r="A1" s="1100" t="s">
        <v>244</v>
      </c>
      <c r="B1" s="1100"/>
      <c r="C1" s="1101" t="s">
        <v>273</v>
      </c>
      <c r="D1" s="1101"/>
      <c r="E1" s="1101"/>
    </row>
    <row r="2" spans="1:5" ht="15" x14ac:dyDescent="0.3">
      <c r="A2" s="876" t="s">
        <v>450</v>
      </c>
      <c r="B2" s="991"/>
      <c r="C2" s="763"/>
      <c r="D2" s="154"/>
      <c r="E2" s="154"/>
    </row>
    <row r="3" spans="1:5" ht="15" x14ac:dyDescent="0.3">
      <c r="A3" s="984" t="s">
        <v>1</v>
      </c>
      <c r="B3" s="992"/>
      <c r="C3" s="764"/>
      <c r="D3" s="159"/>
      <c r="E3" s="159"/>
    </row>
    <row r="4" spans="1:5" ht="15" x14ac:dyDescent="0.3">
      <c r="A4" s="984" t="s">
        <v>2</v>
      </c>
      <c r="B4" s="992"/>
      <c r="C4" s="764"/>
      <c r="D4" s="159"/>
      <c r="E4" s="159"/>
    </row>
    <row r="5" spans="1:5" ht="15.6" x14ac:dyDescent="0.3">
      <c r="A5" s="985"/>
      <c r="B5" s="993"/>
      <c r="C5" s="765"/>
      <c r="D5" s="164"/>
      <c r="E5" s="164"/>
    </row>
    <row r="6" spans="1:5" ht="15.6" x14ac:dyDescent="0.3">
      <c r="A6" s="986" t="s">
        <v>245</v>
      </c>
      <c r="B6" s="994"/>
      <c r="C6" s="766"/>
      <c r="D6" s="767"/>
      <c r="E6" s="767"/>
    </row>
    <row r="7" spans="1:5" ht="15.6" x14ac:dyDescent="0.3">
      <c r="A7" s="995"/>
      <c r="B7" s="996" t="s">
        <v>271</v>
      </c>
      <c r="C7" s="768"/>
      <c r="D7" s="261"/>
      <c r="E7" s="261"/>
    </row>
    <row r="8" spans="1:5" ht="15" x14ac:dyDescent="0.3">
      <c r="A8" s="787"/>
      <c r="B8" s="997" t="s">
        <v>255</v>
      </c>
      <c r="C8" s="768"/>
      <c r="D8" s="261"/>
      <c r="E8" s="261"/>
    </row>
    <row r="9" spans="1:5" ht="15" x14ac:dyDescent="0.3">
      <c r="A9" s="787"/>
      <c r="B9" s="997" t="s">
        <v>256</v>
      </c>
      <c r="C9" s="768"/>
      <c r="D9" s="261"/>
      <c r="E9" s="261"/>
    </row>
    <row r="10" spans="1:5" ht="15" x14ac:dyDescent="0.3">
      <c r="A10" s="787"/>
      <c r="B10" s="997" t="s">
        <v>451</v>
      </c>
      <c r="C10" s="768"/>
      <c r="D10" s="261"/>
      <c r="E10" s="261"/>
    </row>
    <row r="11" spans="1:5" ht="15" x14ac:dyDescent="0.3">
      <c r="A11" s="787"/>
      <c r="B11" s="184" t="s">
        <v>260</v>
      </c>
      <c r="C11" s="768"/>
      <c r="D11" s="261"/>
      <c r="E11" s="261"/>
    </row>
    <row r="12" spans="1:5" ht="15" x14ac:dyDescent="0.3">
      <c r="A12" s="787"/>
      <c r="B12" s="997" t="s">
        <v>270</v>
      </c>
      <c r="C12" s="768"/>
      <c r="D12" s="261"/>
      <c r="E12" s="261"/>
    </row>
    <row r="13" spans="1:5" ht="15" x14ac:dyDescent="0.3">
      <c r="A13" s="787"/>
      <c r="B13" s="997" t="s">
        <v>257</v>
      </c>
      <c r="C13" s="768"/>
      <c r="D13" s="261"/>
      <c r="E13" s="261"/>
    </row>
    <row r="14" spans="1:5" ht="15" x14ac:dyDescent="0.3">
      <c r="A14" s="787"/>
      <c r="B14" s="998" t="s">
        <v>264</v>
      </c>
      <c r="C14" s="768"/>
      <c r="D14" s="261"/>
      <c r="E14" s="261"/>
    </row>
    <row r="15" spans="1:5" ht="15" x14ac:dyDescent="0.3">
      <c r="A15" s="787"/>
      <c r="B15" s="998" t="s">
        <v>265</v>
      </c>
      <c r="C15" s="768"/>
      <c r="D15" s="261"/>
      <c r="E15" s="261"/>
    </row>
    <row r="16" spans="1:5" ht="15" x14ac:dyDescent="0.3">
      <c r="A16" s="787"/>
      <c r="B16" s="998" t="s">
        <v>266</v>
      </c>
      <c r="C16" s="768"/>
      <c r="D16" s="261"/>
      <c r="E16" s="261"/>
    </row>
    <row r="17" spans="1:5" ht="15" x14ac:dyDescent="0.3">
      <c r="A17" s="787"/>
      <c r="B17" s="998" t="s">
        <v>267</v>
      </c>
      <c r="C17" s="768"/>
      <c r="D17" s="261"/>
      <c r="E17" s="261"/>
    </row>
    <row r="18" spans="1:5" ht="15" x14ac:dyDescent="0.3">
      <c r="A18" s="787"/>
      <c r="B18" s="998" t="s">
        <v>268</v>
      </c>
      <c r="C18" s="768"/>
      <c r="D18" s="261"/>
      <c r="E18" s="261"/>
    </row>
    <row r="19" spans="1:5" ht="15" x14ac:dyDescent="0.3">
      <c r="A19" s="787"/>
      <c r="B19" s="998" t="s">
        <v>269</v>
      </c>
      <c r="C19" s="768"/>
      <c r="D19" s="261"/>
      <c r="E19" s="261"/>
    </row>
    <row r="20" spans="1:5" ht="15" x14ac:dyDescent="0.3">
      <c r="A20" s="787"/>
      <c r="B20" s="997" t="s">
        <v>258</v>
      </c>
      <c r="C20" s="768"/>
      <c r="D20" s="261"/>
      <c r="E20" s="261"/>
    </row>
    <row r="21" spans="1:5" ht="15" x14ac:dyDescent="0.3">
      <c r="A21" s="787"/>
      <c r="B21" s="997" t="s">
        <v>259</v>
      </c>
      <c r="C21" s="768"/>
      <c r="D21" s="261"/>
      <c r="E21" s="261"/>
    </row>
    <row r="22" spans="1:5" ht="15" x14ac:dyDescent="0.3">
      <c r="A22" s="787"/>
      <c r="B22" s="997" t="s">
        <v>262</v>
      </c>
      <c r="C22" s="768"/>
      <c r="D22" s="261"/>
      <c r="E22" s="261"/>
    </row>
    <row r="23" spans="1:5" ht="15" x14ac:dyDescent="0.3">
      <c r="A23" s="787"/>
      <c r="B23" s="997" t="s">
        <v>263</v>
      </c>
      <c r="C23" s="768"/>
      <c r="D23" s="261"/>
      <c r="E23" s="261"/>
    </row>
    <row r="24" spans="1:5" ht="31.5" customHeight="1" x14ac:dyDescent="0.3">
      <c r="A24" s="800"/>
      <c r="B24" s="999" t="s">
        <v>300</v>
      </c>
      <c r="C24" s="772"/>
      <c r="D24" s="303"/>
      <c r="E24" s="303"/>
    </row>
    <row r="25" spans="1:5" ht="15" x14ac:dyDescent="0.3">
      <c r="A25" s="790"/>
      <c r="B25" s="1000"/>
      <c r="C25" s="769"/>
      <c r="D25" s="770"/>
      <c r="E25" s="770"/>
    </row>
    <row r="26" spans="1:5" ht="15.6" x14ac:dyDescent="0.3">
      <c r="A26" s="1001" t="s">
        <v>246</v>
      </c>
      <c r="B26" s="822"/>
      <c r="C26" s="767"/>
      <c r="D26" s="767"/>
      <c r="E26" s="168"/>
    </row>
    <row r="27" spans="1:5" ht="15" x14ac:dyDescent="0.3">
      <c r="A27" s="259"/>
      <c r="B27" s="184" t="s">
        <v>247</v>
      </c>
      <c r="C27" s="261"/>
      <c r="D27" s="261"/>
      <c r="E27" s="171"/>
    </row>
    <row r="28" spans="1:5" ht="15" x14ac:dyDescent="0.3">
      <c r="A28" s="259"/>
      <c r="B28" s="184" t="s">
        <v>251</v>
      </c>
      <c r="C28" s="261"/>
      <c r="D28" s="261"/>
      <c r="E28" s="171"/>
    </row>
    <row r="29" spans="1:5" ht="15" x14ac:dyDescent="0.3">
      <c r="A29" s="259"/>
      <c r="B29" s="184" t="s">
        <v>254</v>
      </c>
      <c r="C29" s="261"/>
      <c r="D29" s="261"/>
      <c r="E29" s="171"/>
    </row>
    <row r="30" spans="1:5" ht="15" x14ac:dyDescent="0.3">
      <c r="A30" s="259"/>
      <c r="B30" s="184" t="s">
        <v>253</v>
      </c>
      <c r="C30" s="261"/>
      <c r="D30" s="261"/>
      <c r="E30" s="171"/>
    </row>
    <row r="31" spans="1:5" ht="15" x14ac:dyDescent="0.3">
      <c r="A31" s="259"/>
      <c r="B31" s="184" t="s">
        <v>451</v>
      </c>
      <c r="C31" s="261"/>
      <c r="D31" s="261"/>
      <c r="E31" s="171"/>
    </row>
    <row r="32" spans="1:5" ht="15" x14ac:dyDescent="0.3">
      <c r="A32" s="259"/>
      <c r="B32" s="184" t="s">
        <v>260</v>
      </c>
      <c r="C32" s="261"/>
      <c r="D32" s="261"/>
      <c r="E32" s="171"/>
    </row>
    <row r="33" spans="1:5" ht="15" x14ac:dyDescent="0.3">
      <c r="A33" s="259"/>
      <c r="B33" s="184" t="s">
        <v>104</v>
      </c>
      <c r="C33" s="261"/>
      <c r="D33" s="261"/>
      <c r="E33" s="171"/>
    </row>
    <row r="34" spans="1:5" ht="15" x14ac:dyDescent="0.3">
      <c r="A34" s="259"/>
      <c r="B34" s="184" t="s">
        <v>252</v>
      </c>
      <c r="C34" s="261"/>
      <c r="D34" s="261"/>
      <c r="E34" s="171"/>
    </row>
    <row r="35" spans="1:5" ht="15" x14ac:dyDescent="0.3">
      <c r="A35" s="259"/>
      <c r="B35" s="184" t="s">
        <v>248</v>
      </c>
      <c r="C35" s="261"/>
      <c r="D35" s="261"/>
      <c r="E35" s="171"/>
    </row>
    <row r="36" spans="1:5" ht="15" x14ac:dyDescent="0.3">
      <c r="A36" s="259"/>
      <c r="B36" s="184" t="s">
        <v>250</v>
      </c>
      <c r="C36" s="261"/>
      <c r="D36" s="261"/>
      <c r="E36" s="171"/>
    </row>
    <row r="37" spans="1:5" ht="15" x14ac:dyDescent="0.3">
      <c r="A37" s="259"/>
      <c r="B37" s="184" t="s">
        <v>249</v>
      </c>
      <c r="C37" s="261"/>
      <c r="D37" s="261"/>
      <c r="E37" s="171"/>
    </row>
    <row r="38" spans="1:5" ht="15" x14ac:dyDescent="0.3">
      <c r="A38" s="1002"/>
      <c r="B38" s="1003"/>
      <c r="C38" s="770"/>
      <c r="D38" s="770"/>
      <c r="E38" s="174"/>
    </row>
    <row r="39" spans="1:5" ht="15.6" x14ac:dyDescent="0.3">
      <c r="A39" s="1001" t="s">
        <v>452</v>
      </c>
      <c r="B39" s="822"/>
      <c r="C39" s="767"/>
      <c r="D39" s="767"/>
      <c r="E39" s="168"/>
    </row>
    <row r="40" spans="1:5" ht="15" x14ac:dyDescent="0.3">
      <c r="A40" s="259"/>
      <c r="B40" s="184" t="s">
        <v>272</v>
      </c>
      <c r="C40" s="261"/>
      <c r="D40" s="261"/>
      <c r="E40" s="171"/>
    </row>
    <row r="41" spans="1:5" ht="15" x14ac:dyDescent="0.3">
      <c r="A41" s="259"/>
      <c r="B41" s="184" t="s">
        <v>261</v>
      </c>
      <c r="C41" s="261"/>
      <c r="D41" s="261"/>
      <c r="E41" s="171"/>
    </row>
    <row r="42" spans="1:5" ht="15" x14ac:dyDescent="0.3">
      <c r="A42" s="259"/>
      <c r="B42" s="184" t="s">
        <v>260</v>
      </c>
      <c r="C42" s="261"/>
      <c r="D42" s="261"/>
      <c r="E42" s="171"/>
    </row>
    <row r="43" spans="1:5" ht="15" x14ac:dyDescent="0.3">
      <c r="A43" s="259"/>
      <c r="B43" s="184" t="s">
        <v>104</v>
      </c>
      <c r="C43" s="261"/>
      <c r="D43" s="261"/>
      <c r="E43" s="171"/>
    </row>
    <row r="44" spans="1:5" ht="15" x14ac:dyDescent="0.3">
      <c r="A44" s="259"/>
      <c r="B44" s="184" t="s">
        <v>486</v>
      </c>
      <c r="C44" s="261"/>
      <c r="D44" s="261"/>
      <c r="E44" s="171"/>
    </row>
    <row r="45" spans="1:5" ht="15" x14ac:dyDescent="0.3">
      <c r="A45" s="1002"/>
      <c r="B45" s="306"/>
      <c r="C45" s="770"/>
      <c r="D45" s="770"/>
      <c r="E45" s="174"/>
    </row>
    <row r="46" spans="1:5" ht="15.6" x14ac:dyDescent="0.3">
      <c r="A46" s="1004" t="s">
        <v>453</v>
      </c>
      <c r="B46" s="285"/>
      <c r="C46" s="290"/>
      <c r="D46" s="290"/>
      <c r="E46" s="289"/>
    </row>
    <row r="47" spans="1:5" ht="15" x14ac:dyDescent="0.3">
      <c r="A47" s="259"/>
      <c r="B47" s="184" t="s">
        <v>454</v>
      </c>
      <c r="C47" s="261"/>
      <c r="D47" s="261"/>
      <c r="E47" s="171"/>
    </row>
    <row r="48" spans="1:5" ht="15" x14ac:dyDescent="0.3">
      <c r="A48" s="259"/>
      <c r="B48" s="184" t="s">
        <v>455</v>
      </c>
      <c r="C48" s="261"/>
      <c r="D48" s="261"/>
      <c r="E48" s="171"/>
    </row>
    <row r="49" spans="1:5" ht="15" x14ac:dyDescent="0.3">
      <c r="A49" s="259"/>
      <c r="B49" s="184" t="s">
        <v>456</v>
      </c>
      <c r="C49" s="261"/>
      <c r="D49" s="261"/>
      <c r="E49" s="171"/>
    </row>
    <row r="50" spans="1:5" ht="15" x14ac:dyDescent="0.3">
      <c r="A50" s="259"/>
      <c r="B50" s="184" t="s">
        <v>457</v>
      </c>
      <c r="C50" s="261"/>
      <c r="D50" s="261"/>
      <c r="E50" s="171"/>
    </row>
    <row r="51" spans="1:5" ht="15" x14ac:dyDescent="0.3">
      <c r="A51" s="259"/>
      <c r="B51" s="184" t="s">
        <v>458</v>
      </c>
      <c r="C51" s="261"/>
      <c r="D51" s="261"/>
      <c r="E51" s="171"/>
    </row>
    <row r="52" spans="1:5" ht="15" x14ac:dyDescent="0.3">
      <c r="A52" s="259"/>
      <c r="B52" s="184" t="s">
        <v>459</v>
      </c>
      <c r="C52" s="261"/>
      <c r="D52" s="261"/>
      <c r="E52" s="171"/>
    </row>
    <row r="53" spans="1:5" ht="15" x14ac:dyDescent="0.3">
      <c r="A53" s="259"/>
      <c r="B53" s="184" t="s">
        <v>460</v>
      </c>
      <c r="C53" s="261"/>
      <c r="D53" s="261"/>
      <c r="E53" s="171"/>
    </row>
    <row r="54" spans="1:5" ht="15" x14ac:dyDescent="0.3">
      <c r="A54" s="259"/>
      <c r="B54" s="184" t="s">
        <v>461</v>
      </c>
      <c r="C54" s="261"/>
      <c r="D54" s="261"/>
      <c r="E54" s="171"/>
    </row>
    <row r="55" spans="1:5" ht="15" x14ac:dyDescent="0.3">
      <c r="A55" s="259"/>
      <c r="B55" s="184" t="s">
        <v>462</v>
      </c>
      <c r="C55" s="261"/>
      <c r="D55" s="261"/>
      <c r="E55" s="171"/>
    </row>
    <row r="56" spans="1:5" ht="15" x14ac:dyDescent="0.3">
      <c r="A56" s="259"/>
      <c r="B56" s="184" t="s">
        <v>463</v>
      </c>
      <c r="C56" s="261"/>
      <c r="D56" s="261"/>
      <c r="E56" s="171"/>
    </row>
    <row r="57" spans="1:5" ht="15" x14ac:dyDescent="0.3">
      <c r="A57" s="1005"/>
      <c r="B57" s="1006" t="s">
        <v>464</v>
      </c>
      <c r="C57" s="1007"/>
      <c r="D57" s="1007"/>
      <c r="E57" s="1008"/>
    </row>
    <row r="58" spans="1:5" ht="15" x14ac:dyDescent="0.3">
      <c r="A58" s="1009"/>
      <c r="B58" s="1010" t="s">
        <v>465</v>
      </c>
      <c r="C58" s="1011"/>
      <c r="D58" s="1011"/>
      <c r="E58" s="1012"/>
    </row>
    <row r="59" spans="1:5" ht="15" x14ac:dyDescent="0.3">
      <c r="A59" s="259"/>
      <c r="B59" s="184" t="s">
        <v>466</v>
      </c>
      <c r="C59" s="261"/>
      <c r="D59" s="261"/>
      <c r="E59" s="171"/>
    </row>
    <row r="60" spans="1:5" ht="15" x14ac:dyDescent="0.3">
      <c r="A60" s="1005"/>
      <c r="B60" s="1006" t="s">
        <v>467</v>
      </c>
      <c r="C60" s="1007"/>
      <c r="D60" s="1007"/>
      <c r="E60" s="1008"/>
    </row>
    <row r="61" spans="1:5" ht="15" x14ac:dyDescent="0.3">
      <c r="A61" s="1013"/>
      <c r="B61" s="285" t="s">
        <v>468</v>
      </c>
      <c r="C61" s="290"/>
      <c r="D61" s="290"/>
      <c r="E61" s="289"/>
    </row>
    <row r="62" spans="1:5" ht="15" x14ac:dyDescent="0.3">
      <c r="A62" s="259"/>
      <c r="B62" s="184" t="s">
        <v>469</v>
      </c>
      <c r="C62" s="261"/>
      <c r="D62" s="261"/>
      <c r="E62" s="171"/>
    </row>
    <row r="63" spans="1:5" ht="15" x14ac:dyDescent="0.3">
      <c r="A63" s="259"/>
      <c r="B63" s="184" t="s">
        <v>470</v>
      </c>
      <c r="C63" s="261"/>
      <c r="D63" s="261"/>
      <c r="E63" s="171"/>
    </row>
    <row r="64" spans="1:5" ht="15" x14ac:dyDescent="0.3">
      <c r="A64" s="1002"/>
      <c r="B64" s="1003"/>
      <c r="C64" s="770"/>
      <c r="D64" s="770"/>
      <c r="E64" s="174"/>
    </row>
    <row r="65" spans="1:5" ht="15.6" x14ac:dyDescent="0.3">
      <c r="A65" s="877"/>
      <c r="B65" s="878" t="s">
        <v>160</v>
      </c>
      <c r="C65" s="309"/>
      <c r="D65" s="309"/>
      <c r="E65" s="309"/>
    </row>
  </sheetData>
  <mergeCells count="2">
    <mergeCell ref="A1:B1"/>
    <mergeCell ref="C1:E1"/>
  </mergeCells>
  <pageMargins left="0.7" right="0.7" top="0.8" bottom="0.5" header="0"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63"/>
  <sheetViews>
    <sheetView zoomScale="90" zoomScaleNormal="90" workbookViewId="0">
      <selection activeCell="C21" sqref="C21:D21"/>
    </sheetView>
  </sheetViews>
  <sheetFormatPr defaultRowHeight="15" x14ac:dyDescent="0.25"/>
  <cols>
    <col min="1" max="1" width="16.90625" style="71" customWidth="1"/>
    <col min="2" max="4" width="8.90625" style="71"/>
    <col min="5" max="5" width="13.6328125" style="71" customWidth="1"/>
    <col min="6" max="6" width="9.54296875" style="71" customWidth="1"/>
    <col min="7" max="7" width="10.6328125" style="71" customWidth="1"/>
  </cols>
  <sheetData>
    <row r="1" spans="1:7" x14ac:dyDescent="0.25">
      <c r="A1" s="70"/>
      <c r="B1" s="70"/>
      <c r="C1" s="70"/>
      <c r="D1" s="70"/>
      <c r="E1" s="70"/>
      <c r="F1" s="70"/>
      <c r="G1" s="70"/>
    </row>
    <row r="2" spans="1:7" ht="15.6" x14ac:dyDescent="0.3">
      <c r="A2" s="898" t="s">
        <v>378</v>
      </c>
      <c r="B2" s="1115"/>
      <c r="C2" s="1116"/>
      <c r="D2" s="1108" t="s">
        <v>388</v>
      </c>
      <c r="E2" s="1109"/>
      <c r="F2" s="1109"/>
      <c r="G2" s="896"/>
    </row>
    <row r="3" spans="1:7" ht="15.6" x14ac:dyDescent="0.3">
      <c r="A3" s="898" t="s">
        <v>379</v>
      </c>
      <c r="B3" s="1115"/>
      <c r="C3" s="1116"/>
      <c r="D3" s="1110" t="s">
        <v>389</v>
      </c>
      <c r="E3" s="1106"/>
      <c r="F3" s="1113"/>
      <c r="G3" s="1114"/>
    </row>
    <row r="4" spans="1:7" ht="15.6" x14ac:dyDescent="0.3">
      <c r="A4" s="898" t="s">
        <v>380</v>
      </c>
      <c r="B4" s="1115"/>
      <c r="C4" s="1116"/>
      <c r="D4" s="1110" t="s">
        <v>390</v>
      </c>
      <c r="E4" s="1106"/>
      <c r="F4" s="1113"/>
      <c r="G4" s="1114"/>
    </row>
    <row r="5" spans="1:7" ht="15.6" x14ac:dyDescent="0.3">
      <c r="A5" s="898" t="s">
        <v>381</v>
      </c>
      <c r="B5" s="1115"/>
      <c r="C5" s="1116"/>
      <c r="D5" s="1110" t="s">
        <v>391</v>
      </c>
      <c r="E5" s="1106"/>
      <c r="F5" s="1113"/>
      <c r="G5" s="1114"/>
    </row>
    <row r="6" spans="1:7" ht="15.6" x14ac:dyDescent="0.3">
      <c r="A6" s="898" t="s">
        <v>382</v>
      </c>
      <c r="B6" s="1115"/>
      <c r="C6" s="1116"/>
      <c r="D6" s="1110" t="s">
        <v>392</v>
      </c>
      <c r="E6" s="1106"/>
      <c r="F6" s="1113"/>
      <c r="G6" s="1114"/>
    </row>
    <row r="7" spans="1:7" ht="15.6" x14ac:dyDescent="0.3">
      <c r="A7" s="898" t="s">
        <v>383</v>
      </c>
      <c r="B7" s="1115"/>
      <c r="C7" s="1116"/>
      <c r="D7" s="900" t="s">
        <v>400</v>
      </c>
      <c r="E7" s="895"/>
      <c r="F7" s="902" t="s">
        <v>399</v>
      </c>
      <c r="G7" s="896"/>
    </row>
    <row r="8" spans="1:7" ht="31.2" x14ac:dyDescent="0.3">
      <c r="A8" s="901" t="s">
        <v>398</v>
      </c>
      <c r="B8" s="896"/>
      <c r="C8" s="899" t="s">
        <v>377</v>
      </c>
      <c r="D8" s="894"/>
      <c r="E8" s="893" t="s">
        <v>393</v>
      </c>
      <c r="F8" s="1113"/>
      <c r="G8" s="1114"/>
    </row>
    <row r="9" spans="1:7" ht="15.6" x14ac:dyDescent="0.3">
      <c r="A9" s="892" t="s">
        <v>384</v>
      </c>
      <c r="B9" s="1111"/>
      <c r="C9" s="1112"/>
      <c r="D9" s="1110" t="s">
        <v>394</v>
      </c>
      <c r="E9" s="1106"/>
      <c r="F9" s="1113"/>
      <c r="G9" s="1114"/>
    </row>
    <row r="10" spans="1:7" ht="15.6" x14ac:dyDescent="0.3">
      <c r="A10" s="892" t="s">
        <v>385</v>
      </c>
      <c r="B10" s="1111"/>
      <c r="C10" s="1112"/>
      <c r="D10" s="1110" t="s">
        <v>395</v>
      </c>
      <c r="E10" s="1106"/>
      <c r="F10" s="1113"/>
      <c r="G10" s="1114"/>
    </row>
    <row r="11" spans="1:7" ht="15.6" x14ac:dyDescent="0.3">
      <c r="A11" s="892" t="s">
        <v>386</v>
      </c>
      <c r="B11" s="1111"/>
      <c r="C11" s="1112"/>
      <c r="D11" s="1110" t="s">
        <v>396</v>
      </c>
      <c r="E11" s="1106"/>
      <c r="F11" s="1113"/>
      <c r="G11" s="1114"/>
    </row>
    <row r="12" spans="1:7" ht="15.6" x14ac:dyDescent="0.3">
      <c r="A12" s="892" t="s">
        <v>387</v>
      </c>
      <c r="B12" s="1111"/>
      <c r="C12" s="1112"/>
      <c r="D12" s="1110" t="s">
        <v>397</v>
      </c>
      <c r="E12" s="1106"/>
      <c r="F12" s="1113"/>
      <c r="G12" s="1114"/>
    </row>
    <row r="13" spans="1:7" ht="15.6" x14ac:dyDescent="0.3">
      <c r="A13" s="1108" t="s">
        <v>401</v>
      </c>
      <c r="B13" s="1109"/>
      <c r="C13" s="896"/>
      <c r="D13" s="1110" t="s">
        <v>402</v>
      </c>
      <c r="E13" s="1106"/>
      <c r="F13" s="1106"/>
      <c r="G13" s="903"/>
    </row>
    <row r="14" spans="1:7" ht="15.6" x14ac:dyDescent="0.3">
      <c r="A14" s="1108" t="s">
        <v>472</v>
      </c>
      <c r="B14" s="1109"/>
      <c r="C14" s="1109"/>
      <c r="D14" s="1109"/>
      <c r="E14" s="1109"/>
      <c r="F14" s="1106"/>
      <c r="G14" s="1107"/>
    </row>
    <row r="15" spans="1:7" ht="15.6" x14ac:dyDescent="0.3">
      <c r="A15" s="1108" t="s">
        <v>473</v>
      </c>
      <c r="B15" s="1109"/>
      <c r="C15" s="1109"/>
      <c r="D15" s="1109"/>
      <c r="E15" s="1109"/>
      <c r="F15" s="1106"/>
      <c r="G15" s="1107"/>
    </row>
    <row r="16" spans="1:7" ht="15.6" x14ac:dyDescent="0.3">
      <c r="A16" s="893" t="s">
        <v>474</v>
      </c>
      <c r="B16" s="1015"/>
      <c r="C16" s="1015"/>
      <c r="D16" s="1015"/>
      <c r="E16" s="1015"/>
      <c r="F16" s="1106"/>
      <c r="G16" s="1107"/>
    </row>
    <row r="17" spans="1:7" ht="15.6" x14ac:dyDescent="0.3">
      <c r="A17" s="1108" t="s">
        <v>475</v>
      </c>
      <c r="B17" s="1109"/>
      <c r="C17" s="1109"/>
      <c r="D17" s="1109"/>
      <c r="E17" s="1109"/>
      <c r="F17" s="1106"/>
      <c r="G17" s="1107"/>
    </row>
    <row r="18" spans="1:7" ht="15.6" x14ac:dyDescent="0.3">
      <c r="A18" s="893" t="s">
        <v>476</v>
      </c>
      <c r="B18" s="1015"/>
      <c r="C18" s="1015"/>
      <c r="D18" s="1015"/>
      <c r="E18" s="1015"/>
      <c r="F18" s="1106"/>
      <c r="G18" s="1107"/>
    </row>
    <row r="19" spans="1:7" ht="15.6" x14ac:dyDescent="0.3">
      <c r="A19" s="1108" t="s">
        <v>477</v>
      </c>
      <c r="B19" s="1109"/>
      <c r="C19" s="1109"/>
      <c r="D19" s="1109"/>
      <c r="E19" s="1109"/>
      <c r="F19" s="1106"/>
      <c r="G19" s="1107"/>
    </row>
    <row r="20" spans="1:7" ht="15.6" x14ac:dyDescent="0.3">
      <c r="A20" s="72"/>
      <c r="B20" s="74"/>
      <c r="C20" s="74"/>
      <c r="D20" s="73"/>
      <c r="E20" s="77"/>
      <c r="F20" s="72"/>
      <c r="G20" s="72"/>
    </row>
    <row r="21" spans="1:7" ht="46.8" x14ac:dyDescent="0.25">
      <c r="A21" s="75" t="s">
        <v>214</v>
      </c>
      <c r="B21" s="76" t="s">
        <v>216</v>
      </c>
      <c r="C21" s="1104" t="s">
        <v>215</v>
      </c>
      <c r="D21" s="1105"/>
      <c r="E21" s="76" t="s">
        <v>217</v>
      </c>
      <c r="F21" s="1104" t="s">
        <v>218</v>
      </c>
      <c r="G21" s="1105"/>
    </row>
    <row r="22" spans="1:7" ht="15.6" x14ac:dyDescent="0.3">
      <c r="A22" s="1016">
        <v>2011</v>
      </c>
      <c r="B22" s="897"/>
      <c r="C22" s="1102"/>
      <c r="D22" s="1103"/>
      <c r="E22" s="897"/>
      <c r="F22" s="1102"/>
      <c r="G22" s="1103"/>
    </row>
    <row r="23" spans="1:7" ht="15.6" x14ac:dyDescent="0.3">
      <c r="A23" s="1016">
        <v>2012</v>
      </c>
      <c r="B23" s="897"/>
      <c r="C23" s="1102"/>
      <c r="D23" s="1103"/>
      <c r="E23" s="897"/>
      <c r="F23" s="1102"/>
      <c r="G23" s="1103"/>
    </row>
    <row r="24" spans="1:7" ht="15.6" x14ac:dyDescent="0.3">
      <c r="A24" s="1016">
        <v>2013</v>
      </c>
      <c r="B24" s="897"/>
      <c r="C24" s="1102"/>
      <c r="D24" s="1103"/>
      <c r="E24" s="897"/>
      <c r="F24" s="1102"/>
      <c r="G24" s="1103"/>
    </row>
    <row r="25" spans="1:7" ht="15.6" x14ac:dyDescent="0.3">
      <c r="A25" s="1016">
        <v>2014</v>
      </c>
      <c r="B25" s="897"/>
      <c r="C25" s="1102"/>
      <c r="D25" s="1103"/>
      <c r="E25" s="897"/>
      <c r="F25" s="1102"/>
      <c r="G25" s="1103"/>
    </row>
    <row r="26" spans="1:7" ht="15.6" x14ac:dyDescent="0.3">
      <c r="A26" s="1016">
        <v>2015</v>
      </c>
      <c r="B26" s="897"/>
      <c r="C26" s="1102"/>
      <c r="D26" s="1103"/>
      <c r="E26" s="897"/>
      <c r="F26" s="1102"/>
      <c r="G26" s="1103"/>
    </row>
    <row r="27" spans="1:7" ht="15.6" x14ac:dyDescent="0.3">
      <c r="A27" s="77"/>
      <c r="B27" s="77"/>
      <c r="C27" s="77"/>
      <c r="D27" s="78"/>
      <c r="E27" s="77"/>
      <c r="F27" s="77"/>
      <c r="G27" s="77"/>
    </row>
    <row r="28" spans="1:7" ht="31.2" x14ac:dyDescent="0.25">
      <c r="A28" s="75" t="s">
        <v>219</v>
      </c>
      <c r="B28" s="76" t="s">
        <v>220</v>
      </c>
      <c r="C28" s="76" t="s">
        <v>221</v>
      </c>
      <c r="D28" s="76" t="s">
        <v>54</v>
      </c>
      <c r="E28" s="76" t="s">
        <v>222</v>
      </c>
      <c r="F28" s="76" t="s">
        <v>80</v>
      </c>
      <c r="G28" s="76" t="s">
        <v>223</v>
      </c>
    </row>
    <row r="29" spans="1:7" ht="15.6" x14ac:dyDescent="0.3">
      <c r="A29" s="79" t="s">
        <v>224</v>
      </c>
      <c r="B29" s="79"/>
      <c r="C29" s="79"/>
      <c r="D29" s="79"/>
      <c r="E29" s="79"/>
      <c r="F29" s="79"/>
      <c r="G29" s="79"/>
    </row>
    <row r="30" spans="1:7" ht="15.6" x14ac:dyDescent="0.3">
      <c r="A30" s="80" t="s">
        <v>225</v>
      </c>
      <c r="B30" s="80"/>
      <c r="C30" s="80"/>
      <c r="D30" s="80"/>
      <c r="E30" s="80"/>
      <c r="F30" s="80"/>
      <c r="G30" s="80"/>
    </row>
    <row r="31" spans="1:7" ht="15.6" x14ac:dyDescent="0.3">
      <c r="A31" s="79" t="s">
        <v>31</v>
      </c>
      <c r="B31" s="79"/>
      <c r="C31" s="79"/>
      <c r="D31" s="79"/>
      <c r="E31" s="79"/>
      <c r="F31" s="79"/>
      <c r="G31" s="79"/>
    </row>
    <row r="32" spans="1:7" ht="15.6" x14ac:dyDescent="0.3">
      <c r="A32" s="80" t="s">
        <v>225</v>
      </c>
      <c r="B32" s="80"/>
      <c r="C32" s="80"/>
      <c r="D32" s="80"/>
      <c r="E32" s="80"/>
      <c r="F32" s="80"/>
      <c r="G32" s="80"/>
    </row>
    <row r="33" spans="1:7" ht="15.6" x14ac:dyDescent="0.3">
      <c r="A33" s="79" t="s">
        <v>32</v>
      </c>
      <c r="B33" s="79"/>
      <c r="C33" s="79"/>
      <c r="D33" s="79"/>
      <c r="E33" s="79"/>
      <c r="F33" s="79"/>
      <c r="G33" s="79"/>
    </row>
    <row r="34" spans="1:7" ht="15.6" x14ac:dyDescent="0.3">
      <c r="A34" s="80" t="s">
        <v>225</v>
      </c>
      <c r="B34" s="80"/>
      <c r="C34" s="80"/>
      <c r="D34" s="80"/>
      <c r="E34" s="80"/>
      <c r="F34" s="80"/>
      <c r="G34" s="80"/>
    </row>
    <row r="35" spans="1:7" ht="15.6" x14ac:dyDescent="0.3">
      <c r="A35" s="79" t="s">
        <v>226</v>
      </c>
      <c r="B35" s="79"/>
      <c r="C35" s="79"/>
      <c r="D35" s="79"/>
      <c r="E35" s="79"/>
      <c r="F35" s="79"/>
      <c r="G35" s="79"/>
    </row>
    <row r="36" spans="1:7" ht="15.6" x14ac:dyDescent="0.3">
      <c r="A36" s="80" t="s">
        <v>225</v>
      </c>
      <c r="B36" s="80"/>
      <c r="C36" s="80"/>
      <c r="D36" s="80"/>
      <c r="E36" s="80"/>
      <c r="F36" s="80"/>
      <c r="G36" s="80"/>
    </row>
    <row r="37" spans="1:7" ht="15.6" x14ac:dyDescent="0.3">
      <c r="A37" s="79" t="s">
        <v>227</v>
      </c>
      <c r="B37" s="79"/>
      <c r="C37" s="79"/>
      <c r="D37" s="79"/>
      <c r="E37" s="79"/>
      <c r="F37" s="79"/>
      <c r="G37" s="79"/>
    </row>
    <row r="38" spans="1:7" ht="15.6" x14ac:dyDescent="0.3">
      <c r="A38" s="80" t="s">
        <v>225</v>
      </c>
      <c r="B38" s="80"/>
      <c r="C38" s="80"/>
      <c r="D38" s="80"/>
      <c r="E38" s="80"/>
      <c r="F38" s="80"/>
      <c r="G38" s="80"/>
    </row>
    <row r="39" spans="1:7" ht="15.6" x14ac:dyDescent="0.3">
      <c r="A39" s="79" t="s">
        <v>228</v>
      </c>
      <c r="B39" s="79"/>
      <c r="C39" s="79"/>
      <c r="D39" s="79"/>
      <c r="E39" s="79"/>
      <c r="F39" s="79"/>
      <c r="G39" s="79"/>
    </row>
    <row r="40" spans="1:7" ht="15.6" x14ac:dyDescent="0.3">
      <c r="A40" s="80" t="s">
        <v>225</v>
      </c>
      <c r="B40" s="80"/>
      <c r="C40" s="80"/>
      <c r="D40" s="80"/>
      <c r="E40" s="80"/>
      <c r="F40" s="80"/>
      <c r="G40" s="80"/>
    </row>
    <row r="41" spans="1:7" ht="15.6" x14ac:dyDescent="0.3">
      <c r="A41" s="79" t="s">
        <v>229</v>
      </c>
      <c r="B41" s="79"/>
      <c r="C41" s="79"/>
      <c r="D41" s="79"/>
      <c r="E41" s="79"/>
      <c r="F41" s="79"/>
      <c r="G41" s="79"/>
    </row>
    <row r="42" spans="1:7" ht="15.6" x14ac:dyDescent="0.3">
      <c r="A42" s="80" t="s">
        <v>225</v>
      </c>
      <c r="B42" s="80"/>
      <c r="C42" s="80"/>
      <c r="D42" s="80"/>
      <c r="E42" s="80"/>
      <c r="F42" s="80"/>
      <c r="G42" s="80"/>
    </row>
    <row r="43" spans="1:7" ht="15.6" x14ac:dyDescent="0.3">
      <c r="A43" s="79" t="s">
        <v>230</v>
      </c>
      <c r="B43" s="79"/>
      <c r="C43" s="79"/>
      <c r="D43" s="79"/>
      <c r="E43" s="79"/>
      <c r="F43" s="79"/>
      <c r="G43" s="79"/>
    </row>
    <row r="44" spans="1:7" ht="15.6" x14ac:dyDescent="0.3">
      <c r="A44" s="80" t="s">
        <v>225</v>
      </c>
      <c r="B44" s="80"/>
      <c r="C44" s="80"/>
      <c r="D44" s="80"/>
      <c r="E44" s="80"/>
      <c r="F44" s="80"/>
      <c r="G44" s="80"/>
    </row>
    <row r="45" spans="1:7" ht="15.6" x14ac:dyDescent="0.3">
      <c r="A45" s="79" t="s">
        <v>231</v>
      </c>
      <c r="B45" s="79"/>
      <c r="C45" s="79"/>
      <c r="D45" s="79"/>
      <c r="E45" s="79"/>
      <c r="F45" s="79"/>
      <c r="G45" s="79"/>
    </row>
    <row r="46" spans="1:7" ht="15.6" x14ac:dyDescent="0.3">
      <c r="A46" s="80" t="s">
        <v>225</v>
      </c>
      <c r="B46" s="80"/>
      <c r="C46" s="80"/>
      <c r="D46" s="80"/>
      <c r="E46" s="80"/>
      <c r="F46" s="80"/>
      <c r="G46" s="80"/>
    </row>
    <row r="47" spans="1:7" ht="15.6" x14ac:dyDescent="0.3">
      <c r="A47" s="79" t="s">
        <v>508</v>
      </c>
      <c r="B47" s="79"/>
      <c r="C47" s="79"/>
      <c r="D47" s="79"/>
      <c r="E47" s="79"/>
      <c r="F47" s="79"/>
      <c r="G47" s="79"/>
    </row>
    <row r="48" spans="1:7" ht="15.6" x14ac:dyDescent="0.3">
      <c r="A48" s="80" t="s">
        <v>225</v>
      </c>
      <c r="B48" s="80"/>
      <c r="C48" s="80"/>
      <c r="D48" s="80"/>
      <c r="E48" s="80"/>
      <c r="F48" s="80"/>
      <c r="G48" s="80"/>
    </row>
    <row r="49" spans="1:7" ht="15.6" x14ac:dyDescent="0.3">
      <c r="A49" s="79" t="s">
        <v>238</v>
      </c>
      <c r="B49" s="79"/>
      <c r="C49" s="79"/>
      <c r="D49" s="79"/>
      <c r="E49" s="79"/>
      <c r="F49" s="79"/>
      <c r="G49" s="79"/>
    </row>
    <row r="50" spans="1:7" ht="15.6" x14ac:dyDescent="0.3">
      <c r="A50" s="80" t="s">
        <v>225</v>
      </c>
      <c r="B50" s="80"/>
      <c r="C50" s="80"/>
      <c r="D50" s="80"/>
      <c r="E50" s="80"/>
      <c r="F50" s="80"/>
      <c r="G50" s="80"/>
    </row>
    <row r="51" spans="1:7" ht="15.6" x14ac:dyDescent="0.3">
      <c r="A51" s="79" t="s">
        <v>103</v>
      </c>
      <c r="B51" s="79"/>
      <c r="C51" s="79"/>
      <c r="D51" s="79"/>
      <c r="E51" s="79"/>
      <c r="F51" s="79"/>
      <c r="G51" s="79"/>
    </row>
    <row r="52" spans="1:7" ht="15.6" x14ac:dyDescent="0.3">
      <c r="A52" s="80" t="s">
        <v>225</v>
      </c>
      <c r="B52" s="80"/>
      <c r="C52" s="80"/>
      <c r="D52" s="80"/>
      <c r="E52" s="80"/>
      <c r="F52" s="80"/>
      <c r="G52" s="80"/>
    </row>
    <row r="53" spans="1:7" ht="15.6" x14ac:dyDescent="0.3">
      <c r="A53" s="79" t="s">
        <v>107</v>
      </c>
      <c r="B53" s="79"/>
      <c r="C53" s="79"/>
      <c r="D53" s="79"/>
      <c r="E53" s="79"/>
      <c r="F53" s="79"/>
      <c r="G53" s="79"/>
    </row>
    <row r="54" spans="1:7" ht="15.6" x14ac:dyDescent="0.3">
      <c r="A54" s="80" t="s">
        <v>225</v>
      </c>
      <c r="B54" s="80"/>
      <c r="C54" s="80"/>
      <c r="D54" s="80"/>
      <c r="E54" s="80"/>
      <c r="F54" s="80"/>
      <c r="G54" s="80"/>
    </row>
    <row r="55" spans="1:7" ht="15.6" x14ac:dyDescent="0.3">
      <c r="A55" s="79"/>
      <c r="B55" s="79"/>
      <c r="C55" s="79"/>
      <c r="D55" s="79"/>
      <c r="E55" s="79"/>
      <c r="F55" s="79"/>
      <c r="G55" s="79"/>
    </row>
    <row r="56" spans="1:7" ht="15.6" x14ac:dyDescent="0.3">
      <c r="A56" s="80" t="s">
        <v>225</v>
      </c>
      <c r="B56" s="80"/>
      <c r="C56" s="80"/>
      <c r="D56" s="80"/>
      <c r="E56" s="80"/>
      <c r="F56" s="80"/>
      <c r="G56" s="80"/>
    </row>
    <row r="57" spans="1:7" ht="15.6" x14ac:dyDescent="0.3">
      <c r="A57" s="79"/>
      <c r="B57" s="79"/>
      <c r="C57" s="79"/>
      <c r="D57" s="79"/>
      <c r="E57" s="79"/>
      <c r="F57" s="79"/>
      <c r="G57" s="79"/>
    </row>
    <row r="58" spans="1:7" ht="15.6" x14ac:dyDescent="0.3">
      <c r="A58" s="80" t="s">
        <v>225</v>
      </c>
      <c r="B58" s="80"/>
      <c r="C58" s="80"/>
      <c r="D58" s="80"/>
      <c r="E58" s="80"/>
      <c r="F58" s="80"/>
      <c r="G58" s="80"/>
    </row>
    <row r="59" spans="1:7" ht="15.6" x14ac:dyDescent="0.3">
      <c r="A59" s="79"/>
      <c r="B59" s="79"/>
      <c r="C59" s="79"/>
      <c r="D59" s="79"/>
      <c r="E59" s="79"/>
      <c r="F59" s="79"/>
      <c r="G59" s="79"/>
    </row>
    <row r="60" spans="1:7" ht="15.6" x14ac:dyDescent="0.3">
      <c r="A60" s="80"/>
      <c r="B60" s="80"/>
      <c r="C60" s="80"/>
      <c r="D60" s="80"/>
      <c r="E60" s="80"/>
      <c r="F60" s="80"/>
      <c r="G60" s="80"/>
    </row>
    <row r="61" spans="1:7" ht="15.6" x14ac:dyDescent="0.3">
      <c r="A61" s="77"/>
      <c r="B61" s="77"/>
      <c r="C61" s="77"/>
      <c r="D61" s="77"/>
      <c r="E61" s="77"/>
      <c r="F61" s="77"/>
      <c r="G61" s="77"/>
    </row>
    <row r="62" spans="1:7" ht="15.6" x14ac:dyDescent="0.3">
      <c r="A62" s="1017" t="s">
        <v>232</v>
      </c>
      <c r="B62" s="77"/>
      <c r="C62" s="77"/>
      <c r="D62" s="77"/>
      <c r="E62" s="77"/>
      <c r="F62" s="77"/>
      <c r="G62" s="77"/>
    </row>
    <row r="63" spans="1:7" ht="15.6" x14ac:dyDescent="0.3">
      <c r="A63" s="1017" t="s">
        <v>237</v>
      </c>
      <c r="B63" s="70"/>
      <c r="C63" s="70"/>
      <c r="D63" s="70"/>
      <c r="E63" s="70"/>
      <c r="F63" s="70"/>
      <c r="G63" s="70"/>
    </row>
  </sheetData>
  <mergeCells count="52">
    <mergeCell ref="B4:C4"/>
    <mergeCell ref="D4:E4"/>
    <mergeCell ref="F4:G4"/>
    <mergeCell ref="B2:C2"/>
    <mergeCell ref="D2:F2"/>
    <mergeCell ref="B3:C3"/>
    <mergeCell ref="D3:E3"/>
    <mergeCell ref="F3:G3"/>
    <mergeCell ref="B10:C10"/>
    <mergeCell ref="D10:E10"/>
    <mergeCell ref="F10:G10"/>
    <mergeCell ref="B5:C5"/>
    <mergeCell ref="D5:E5"/>
    <mergeCell ref="F5:G5"/>
    <mergeCell ref="B6:C6"/>
    <mergeCell ref="D6:E6"/>
    <mergeCell ref="F6:G6"/>
    <mergeCell ref="B7:C7"/>
    <mergeCell ref="F8:G8"/>
    <mergeCell ref="B9:C9"/>
    <mergeCell ref="D9:E9"/>
    <mergeCell ref="F9:G9"/>
    <mergeCell ref="B11:C11"/>
    <mergeCell ref="D11:E11"/>
    <mergeCell ref="F11:G11"/>
    <mergeCell ref="B12:C12"/>
    <mergeCell ref="D12:E12"/>
    <mergeCell ref="F12:G12"/>
    <mergeCell ref="A13:B13"/>
    <mergeCell ref="D13:F13"/>
    <mergeCell ref="A14:E14"/>
    <mergeCell ref="F14:G14"/>
    <mergeCell ref="A15:E15"/>
    <mergeCell ref="F15:G15"/>
    <mergeCell ref="F16:G16"/>
    <mergeCell ref="A17:E17"/>
    <mergeCell ref="F17:G17"/>
    <mergeCell ref="F18:G18"/>
    <mergeCell ref="A19:E19"/>
    <mergeCell ref="F19:G19"/>
    <mergeCell ref="C21:D21"/>
    <mergeCell ref="F21:G21"/>
    <mergeCell ref="C22:D22"/>
    <mergeCell ref="F22:G22"/>
    <mergeCell ref="C23:D23"/>
    <mergeCell ref="F23:G23"/>
    <mergeCell ref="C24:D24"/>
    <mergeCell ref="F24:G24"/>
    <mergeCell ref="C25:D25"/>
    <mergeCell ref="F25:G25"/>
    <mergeCell ref="C26:D26"/>
    <mergeCell ref="F26:G26"/>
  </mergeCells>
  <pageMargins left="0.4" right="0.4"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0"/>
  <sheetViews>
    <sheetView showGridLines="0" view="pageLayout" topLeftCell="H1" zoomScaleNormal="100" workbookViewId="0">
      <selection activeCell="U389" sqref="U389"/>
    </sheetView>
  </sheetViews>
  <sheetFormatPr defaultColWidth="8.90625" defaultRowHeight="14.4" x14ac:dyDescent="0.3"/>
  <cols>
    <col min="1" max="1" width="6.453125" style="1043" hidden="1" customWidth="1"/>
    <col min="2" max="2" width="8" style="1043" hidden="1" customWidth="1"/>
    <col min="3" max="3" width="21" style="1043" hidden="1" customWidth="1"/>
    <col min="4" max="4" width="8.08984375" style="1043" hidden="1" customWidth="1"/>
    <col min="5" max="5" width="28.453125" style="1043" hidden="1" customWidth="1"/>
    <col min="6" max="6" width="9.6328125" style="1043" hidden="1" customWidth="1"/>
    <col min="7" max="7" width="28.453125" style="1043" hidden="1" customWidth="1"/>
    <col min="8" max="8" width="4.54296875" style="1046" customWidth="1"/>
    <col min="9" max="9" width="26.36328125" style="1043" customWidth="1"/>
    <col min="10" max="10" width="5.453125" style="1043" hidden="1" customWidth="1"/>
    <col min="11" max="11" width="12.81640625" style="1043" hidden="1" customWidth="1"/>
    <col min="12" max="12" width="11.453125" style="1043" hidden="1" customWidth="1"/>
    <col min="13" max="17" width="5.08984375" style="1046" customWidth="1"/>
    <col min="18" max="18" width="10.1796875" style="1043" hidden="1" customWidth="1"/>
    <col min="19" max="19" width="4.54296875" style="1046" customWidth="1"/>
    <col min="20" max="20" width="6.90625" style="1047" customWidth="1"/>
    <col min="21" max="21" width="11.54296875" style="1047" customWidth="1"/>
    <col min="22" max="22" width="9.6328125" style="1047" customWidth="1"/>
    <col min="23" max="23" width="8.6328125" style="1047" customWidth="1"/>
    <col min="24" max="25" width="6" style="1043" customWidth="1"/>
    <col min="26" max="26" width="9.54296875" style="1043" customWidth="1"/>
    <col min="27" max="27" width="9.453125" style="1043" hidden="1" customWidth="1"/>
    <col min="28" max="29" width="28.453125" style="1043" hidden="1" customWidth="1"/>
    <col min="30" max="30" width="28.453125" style="1043" bestFit="1" customWidth="1"/>
    <col min="31" max="31" width="7.453125" style="1046" customWidth="1"/>
    <col min="32" max="32" width="28.453125" style="1043" hidden="1" customWidth="1"/>
    <col min="33" max="33" width="13.6328125" style="1043" hidden="1" customWidth="1"/>
    <col min="34" max="34" width="16.36328125" style="1043" customWidth="1"/>
    <col min="35" max="35" width="7.1796875" style="1043" customWidth="1"/>
    <col min="36" max="36" width="3.6328125" style="1043" customWidth="1"/>
    <col min="37" max="37" width="6.1796875" style="1046" customWidth="1"/>
    <col min="38" max="38" width="10" style="1043" bestFit="1" customWidth="1"/>
    <col min="39" max="39" width="10.453125" style="1043" bestFit="1" customWidth="1"/>
    <col min="40" max="40" width="28.453125" style="1043" bestFit="1" customWidth="1"/>
    <col min="41" max="41" width="10.54296875" style="1043" bestFit="1" customWidth="1"/>
    <col min="42" max="42" width="6.81640625" style="1043" bestFit="1" customWidth="1"/>
    <col min="43" max="16384" width="8.90625" style="1043"/>
  </cols>
  <sheetData>
    <row r="1" spans="1:42" ht="43.8" thickBot="1" x14ac:dyDescent="0.35">
      <c r="A1" s="1040" t="s">
        <v>529</v>
      </c>
      <c r="B1" s="1040" t="s">
        <v>530</v>
      </c>
      <c r="C1" s="1040" t="s">
        <v>531</v>
      </c>
      <c r="D1" s="1040" t="s">
        <v>532</v>
      </c>
      <c r="E1" s="1040" t="s">
        <v>533</v>
      </c>
      <c r="F1" s="1040" t="s">
        <v>534</v>
      </c>
      <c r="G1" s="1040" t="s">
        <v>535</v>
      </c>
      <c r="H1" s="1068" t="s">
        <v>1471</v>
      </c>
      <c r="I1" s="1040" t="s">
        <v>536</v>
      </c>
      <c r="J1" s="1040" t="s">
        <v>537</v>
      </c>
      <c r="K1" s="1040" t="s">
        <v>538</v>
      </c>
      <c r="L1" s="1040" t="s">
        <v>539</v>
      </c>
      <c r="M1" s="1049" t="s">
        <v>83</v>
      </c>
      <c r="N1" s="1049" t="s">
        <v>1448</v>
      </c>
      <c r="O1" s="1049" t="s">
        <v>1449</v>
      </c>
      <c r="P1" s="1049" t="s">
        <v>1450</v>
      </c>
      <c r="Q1" s="1049" t="s">
        <v>1451</v>
      </c>
      <c r="R1" s="1040" t="s">
        <v>540</v>
      </c>
      <c r="S1" s="1051" t="s">
        <v>541</v>
      </c>
      <c r="T1" s="1050" t="s">
        <v>1452</v>
      </c>
      <c r="U1" s="1050" t="s">
        <v>1453</v>
      </c>
      <c r="V1" s="1050" t="s">
        <v>1454</v>
      </c>
      <c r="W1" s="1050" t="s">
        <v>1455</v>
      </c>
      <c r="X1" s="1050" t="s">
        <v>1456</v>
      </c>
      <c r="Y1" s="1050" t="s">
        <v>1457</v>
      </c>
      <c r="Z1" s="1052" t="s">
        <v>1458</v>
      </c>
      <c r="AA1" s="1040" t="s">
        <v>542</v>
      </c>
      <c r="AB1" s="1040" t="s">
        <v>543</v>
      </c>
      <c r="AC1" s="1040" t="s">
        <v>544</v>
      </c>
      <c r="AD1" s="1040" t="s">
        <v>545</v>
      </c>
      <c r="AE1" s="1053" t="s">
        <v>201</v>
      </c>
      <c r="AF1" s="1040" t="s">
        <v>546</v>
      </c>
      <c r="AG1" s="1040" t="s">
        <v>547</v>
      </c>
      <c r="AH1" s="1040" t="s">
        <v>548</v>
      </c>
      <c r="AI1" s="1040" t="s">
        <v>549</v>
      </c>
      <c r="AJ1" s="1040" t="s">
        <v>550</v>
      </c>
      <c r="AK1" s="1041" t="s">
        <v>551</v>
      </c>
      <c r="AL1" s="1040" t="s">
        <v>552</v>
      </c>
      <c r="AM1" s="1040" t="s">
        <v>553</v>
      </c>
      <c r="AN1" s="1040" t="s">
        <v>554</v>
      </c>
      <c r="AO1" s="1040" t="s">
        <v>555</v>
      </c>
      <c r="AP1" s="1040" t="s">
        <v>556</v>
      </c>
    </row>
    <row r="2" spans="1:42" ht="15" thickTop="1" x14ac:dyDescent="0.3">
      <c r="A2" s="1040"/>
      <c r="B2" s="1040"/>
      <c r="C2" s="1040"/>
      <c r="D2" s="1040"/>
      <c r="E2" s="1040"/>
      <c r="F2" s="1040"/>
      <c r="G2" s="1040"/>
      <c r="H2" s="1041"/>
      <c r="I2" s="1040"/>
      <c r="J2" s="1040"/>
      <c r="K2" s="1040"/>
      <c r="L2" s="1040"/>
      <c r="M2" s="1041"/>
      <c r="N2" s="1041"/>
      <c r="O2" s="1041"/>
      <c r="P2" s="1041"/>
      <c r="Q2" s="1041"/>
      <c r="R2" s="1040"/>
      <c r="S2" s="1041"/>
      <c r="T2" s="1042"/>
      <c r="U2" s="1042"/>
      <c r="V2" s="1042"/>
      <c r="W2" s="1042"/>
      <c r="X2" s="1040"/>
      <c r="Y2" s="1040"/>
      <c r="Z2" s="1040"/>
      <c r="AA2" s="1040"/>
      <c r="AB2" s="1040"/>
      <c r="AC2" s="1040"/>
      <c r="AD2" s="1040"/>
      <c r="AE2" s="1041"/>
      <c r="AF2" s="1040"/>
      <c r="AG2" s="1040"/>
      <c r="AH2" s="1040"/>
      <c r="AI2" s="1040"/>
      <c r="AJ2" s="1040"/>
      <c r="AK2" s="1041"/>
      <c r="AL2" s="1040"/>
      <c r="AM2" s="1040"/>
      <c r="AN2" s="1040"/>
      <c r="AO2" s="1040"/>
      <c r="AP2" s="1040"/>
    </row>
    <row r="3" spans="1:42" x14ac:dyDescent="0.3">
      <c r="A3" s="1040"/>
      <c r="B3" s="1040"/>
      <c r="C3" s="1040"/>
      <c r="D3" s="1040"/>
      <c r="E3" s="1040"/>
      <c r="F3" s="1040"/>
      <c r="G3" s="1040"/>
      <c r="H3" s="1041"/>
      <c r="I3" s="1044" t="s">
        <v>557</v>
      </c>
      <c r="J3" s="1040"/>
      <c r="K3" s="1040"/>
      <c r="L3" s="1040"/>
      <c r="M3" s="1041"/>
      <c r="N3" s="1041"/>
      <c r="O3" s="1041"/>
      <c r="P3" s="1041"/>
      <c r="Q3" s="1041"/>
      <c r="R3" s="1040"/>
      <c r="S3" s="1041"/>
      <c r="T3" s="1042"/>
      <c r="U3" s="1042"/>
      <c r="V3" s="1042"/>
      <c r="W3" s="1042"/>
      <c r="X3" s="1040"/>
      <c r="Y3" s="1040"/>
      <c r="Z3" s="1040"/>
      <c r="AA3" s="1040"/>
      <c r="AB3" s="1040"/>
      <c r="AC3" s="1040"/>
      <c r="AD3" s="1040"/>
      <c r="AE3" s="1041"/>
      <c r="AF3" s="1040"/>
      <c r="AG3" s="1040"/>
      <c r="AH3" s="1040"/>
      <c r="AI3" s="1040"/>
      <c r="AJ3" s="1040"/>
      <c r="AK3" s="1041"/>
      <c r="AL3" s="1040"/>
      <c r="AM3" s="1040"/>
      <c r="AN3" s="1040"/>
      <c r="AO3" s="1040"/>
      <c r="AP3" s="1040"/>
    </row>
    <row r="4" spans="1:42" x14ac:dyDescent="0.3">
      <c r="A4" s="1040">
        <v>98</v>
      </c>
      <c r="B4" s="1040">
        <v>75531</v>
      </c>
      <c r="C4" s="1040" t="s">
        <v>558</v>
      </c>
      <c r="D4" s="1040" t="str">
        <f t="shared" ref="D4:D91" si="0">"061901"</f>
        <v>061901</v>
      </c>
      <c r="E4" s="1040" t="s">
        <v>559</v>
      </c>
      <c r="F4" s="1040" t="str">
        <f>"001"</f>
        <v>001</v>
      </c>
      <c r="H4" s="1041" t="str">
        <f>"34A"</f>
        <v>34A</v>
      </c>
      <c r="I4" s="1040" t="s">
        <v>560</v>
      </c>
      <c r="J4" s="1040">
        <v>409538</v>
      </c>
      <c r="K4" s="1045">
        <v>41403</v>
      </c>
      <c r="L4" s="1040" t="s">
        <v>561</v>
      </c>
      <c r="M4" s="1041">
        <v>2004</v>
      </c>
      <c r="N4" s="1041" t="s">
        <v>562</v>
      </c>
      <c r="O4" s="1041" t="s">
        <v>562</v>
      </c>
      <c r="P4" s="1041" t="s">
        <v>562</v>
      </c>
      <c r="Q4" s="1041" t="s">
        <v>562</v>
      </c>
      <c r="R4" s="1040">
        <v>14</v>
      </c>
      <c r="S4" s="1041">
        <v>1</v>
      </c>
      <c r="T4" s="1042">
        <v>77284</v>
      </c>
      <c r="U4" s="1042">
        <v>12818936</v>
      </c>
      <c r="V4" s="1042">
        <v>1876428</v>
      </c>
      <c r="W4" s="1042"/>
      <c r="X4" s="1042">
        <v>166</v>
      </c>
      <c r="Y4" s="1042">
        <v>24</v>
      </c>
      <c r="Z4" s="1040" t="s">
        <v>563</v>
      </c>
      <c r="AA4" s="1040" t="s">
        <v>564</v>
      </c>
      <c r="AB4" s="1040" t="s">
        <v>565</v>
      </c>
      <c r="AC4" s="1040" t="s">
        <v>566</v>
      </c>
      <c r="AD4" s="1040" t="s">
        <v>567</v>
      </c>
      <c r="AE4" s="1067"/>
      <c r="AF4" s="1040" t="s">
        <v>568</v>
      </c>
      <c r="AG4" s="1040">
        <v>0</v>
      </c>
      <c r="AH4" s="1040" t="s">
        <v>569</v>
      </c>
      <c r="AI4" s="1040" t="s">
        <v>570</v>
      </c>
      <c r="AJ4" s="1040" t="s">
        <v>571</v>
      </c>
      <c r="AK4" s="1041">
        <v>76227</v>
      </c>
      <c r="AL4" s="1040" t="s">
        <v>572</v>
      </c>
      <c r="AM4" s="1040" t="s">
        <v>573</v>
      </c>
      <c r="AN4" s="1040" t="s">
        <v>574</v>
      </c>
      <c r="AO4" s="1040">
        <v>12227000</v>
      </c>
      <c r="AP4" s="1040">
        <v>409538</v>
      </c>
    </row>
    <row r="5" spans="1:42" x14ac:dyDescent="0.3">
      <c r="A5" s="1040">
        <v>98</v>
      </c>
      <c r="B5" s="1040">
        <v>75531</v>
      </c>
      <c r="C5" s="1040" t="s">
        <v>558</v>
      </c>
      <c r="D5" s="1040" t="str">
        <f t="shared" si="0"/>
        <v>061901</v>
      </c>
      <c r="E5" s="1040" t="s">
        <v>559</v>
      </c>
      <c r="F5" s="1040" t="str">
        <f>"001"</f>
        <v>001</v>
      </c>
      <c r="G5" s="1040" t="s">
        <v>557</v>
      </c>
      <c r="H5" s="1041" t="str">
        <f>"34B"</f>
        <v>34B</v>
      </c>
      <c r="I5" s="1040" t="s">
        <v>575</v>
      </c>
      <c r="J5" s="1040">
        <v>409588</v>
      </c>
      <c r="K5" s="1045">
        <v>41403</v>
      </c>
      <c r="L5" s="1040" t="s">
        <v>561</v>
      </c>
      <c r="M5" s="1041">
        <v>2000</v>
      </c>
      <c r="N5" s="1041" t="s">
        <v>576</v>
      </c>
      <c r="O5" s="1041" t="s">
        <v>576</v>
      </c>
      <c r="P5" s="1041" t="s">
        <v>576</v>
      </c>
      <c r="Q5" s="1041" t="s">
        <v>576</v>
      </c>
      <c r="R5" s="1040">
        <v>9</v>
      </c>
      <c r="S5" s="1041">
        <v>1</v>
      </c>
      <c r="T5" s="1042">
        <v>768</v>
      </c>
      <c r="U5" s="1042">
        <v>73388</v>
      </c>
      <c r="V5" s="1042">
        <v>11242</v>
      </c>
      <c r="W5" s="1042"/>
      <c r="X5" s="1042">
        <v>96</v>
      </c>
      <c r="Y5" s="1042">
        <v>15</v>
      </c>
      <c r="Z5" s="1040" t="s">
        <v>577</v>
      </c>
      <c r="AA5" s="1040" t="s">
        <v>578</v>
      </c>
      <c r="AB5" s="1040" t="s">
        <v>579</v>
      </c>
      <c r="AC5" s="1040" t="s">
        <v>580</v>
      </c>
      <c r="AD5" s="1040" t="s">
        <v>581</v>
      </c>
      <c r="AE5" s="1054"/>
      <c r="AF5" s="1040" t="s">
        <v>582</v>
      </c>
      <c r="AG5" s="1040">
        <v>0</v>
      </c>
      <c r="AH5" s="1040" t="s">
        <v>569</v>
      </c>
      <c r="AI5" s="1040" t="s">
        <v>570</v>
      </c>
      <c r="AJ5" s="1040" t="s">
        <v>571</v>
      </c>
      <c r="AK5" s="1041">
        <v>76227</v>
      </c>
      <c r="AL5" s="1040" t="s">
        <v>583</v>
      </c>
      <c r="AM5" s="1040" t="s">
        <v>584</v>
      </c>
      <c r="AN5" s="1040" t="s">
        <v>585</v>
      </c>
      <c r="AO5" s="1040">
        <v>70000</v>
      </c>
      <c r="AP5" s="1040">
        <v>409588</v>
      </c>
    </row>
    <row r="6" spans="1:42" x14ac:dyDescent="0.3">
      <c r="A6" s="1040">
        <v>98</v>
      </c>
      <c r="B6" s="1040">
        <v>75531</v>
      </c>
      <c r="C6" s="1040" t="s">
        <v>558</v>
      </c>
      <c r="D6" s="1040" t="str">
        <f t="shared" si="0"/>
        <v>061901</v>
      </c>
      <c r="E6" s="1040" t="s">
        <v>559</v>
      </c>
      <c r="F6" s="1040" t="str">
        <f>"001"</f>
        <v>001</v>
      </c>
      <c r="G6" s="1040" t="s">
        <v>557</v>
      </c>
      <c r="H6" s="1041" t="str">
        <f>"999"</f>
        <v>999</v>
      </c>
      <c r="I6" s="1040" t="s">
        <v>586</v>
      </c>
      <c r="J6" s="1040">
        <v>409765</v>
      </c>
      <c r="K6" s="1040"/>
      <c r="L6" s="1040" t="s">
        <v>561</v>
      </c>
      <c r="M6" s="1041"/>
      <c r="N6" s="1041" t="s">
        <v>576</v>
      </c>
      <c r="O6" s="1041" t="s">
        <v>576</v>
      </c>
      <c r="P6" s="1041" t="s">
        <v>576</v>
      </c>
      <c r="Q6" s="1041" t="s">
        <v>576</v>
      </c>
      <c r="R6" s="1040">
        <v>0</v>
      </c>
      <c r="S6" s="1041">
        <v>0</v>
      </c>
      <c r="T6" s="1042"/>
      <c r="U6" s="1042"/>
      <c r="V6" s="1042"/>
      <c r="W6" s="1042">
        <v>246377</v>
      </c>
      <c r="X6" s="1042"/>
      <c r="Y6" s="1042"/>
      <c r="Z6" s="1040" t="s">
        <v>587</v>
      </c>
      <c r="AA6" s="1040"/>
      <c r="AB6" s="1040"/>
      <c r="AC6" s="1040"/>
      <c r="AD6" s="1040"/>
      <c r="AE6" s="1041"/>
      <c r="AF6" s="1040"/>
      <c r="AG6" s="1040">
        <v>0</v>
      </c>
      <c r="AH6" s="1040" t="s">
        <v>569</v>
      </c>
      <c r="AI6" s="1040" t="s">
        <v>570</v>
      </c>
      <c r="AJ6" s="1040" t="s">
        <v>571</v>
      </c>
      <c r="AK6" s="1041">
        <v>76227</v>
      </c>
      <c r="AL6" s="1040"/>
      <c r="AM6" s="1040"/>
      <c r="AN6" s="1040"/>
      <c r="AO6" s="1040">
        <v>0</v>
      </c>
      <c r="AP6" s="1040">
        <v>409765</v>
      </c>
    </row>
    <row r="7" spans="1:42" s="1059" customFormat="1" x14ac:dyDescent="0.3">
      <c r="A7" s="1056"/>
      <c r="B7" s="1056"/>
      <c r="C7" s="1056"/>
      <c r="D7" s="1056"/>
      <c r="E7" s="1056"/>
      <c r="F7" s="1056"/>
      <c r="G7" s="1056"/>
      <c r="H7" s="1057"/>
      <c r="I7" s="1056"/>
      <c r="J7" s="1056"/>
      <c r="K7" s="1056"/>
      <c r="L7" s="1056"/>
      <c r="M7" s="1057"/>
      <c r="N7" s="1057"/>
      <c r="O7" s="1057"/>
      <c r="P7" s="1057"/>
      <c r="Q7" s="1057"/>
      <c r="R7" s="1056"/>
      <c r="S7" s="1057"/>
      <c r="T7" s="1058"/>
      <c r="U7" s="1058"/>
      <c r="V7" s="1058"/>
      <c r="W7" s="1058"/>
      <c r="X7" s="1058"/>
      <c r="Y7" s="1058"/>
      <c r="Z7" s="1056"/>
      <c r="AA7" s="1056"/>
      <c r="AB7" s="1056"/>
      <c r="AC7" s="1056"/>
      <c r="AD7" s="1056"/>
      <c r="AE7" s="1057"/>
      <c r="AF7" s="1056"/>
      <c r="AG7" s="1056"/>
      <c r="AH7" s="1056"/>
      <c r="AI7" s="1056"/>
      <c r="AJ7" s="1056"/>
      <c r="AK7" s="1057"/>
      <c r="AL7" s="1056"/>
      <c r="AM7" s="1056"/>
      <c r="AN7" s="1056"/>
      <c r="AO7" s="1056"/>
      <c r="AP7" s="1056"/>
    </row>
    <row r="8" spans="1:42" s="1059" customFormat="1" x14ac:dyDescent="0.3">
      <c r="A8" s="1060"/>
      <c r="B8" s="1060"/>
      <c r="C8" s="1060"/>
      <c r="D8" s="1060"/>
      <c r="E8" s="1060"/>
      <c r="F8" s="1060"/>
      <c r="G8" s="1060"/>
      <c r="H8" s="1061"/>
      <c r="I8" s="1062" t="s">
        <v>588</v>
      </c>
      <c r="J8" s="1060"/>
      <c r="K8" s="1060"/>
      <c r="L8" s="1060"/>
      <c r="M8" s="1061"/>
      <c r="N8" s="1061"/>
      <c r="O8" s="1061"/>
      <c r="P8" s="1061"/>
      <c r="Q8" s="1061"/>
      <c r="R8" s="1060"/>
      <c r="S8" s="1061"/>
      <c r="T8" s="1063"/>
      <c r="U8" s="1063"/>
      <c r="V8" s="1063"/>
      <c r="W8" s="1063"/>
      <c r="X8" s="1063"/>
      <c r="Y8" s="1063"/>
      <c r="Z8" s="1060"/>
      <c r="AA8" s="1060"/>
      <c r="AB8" s="1060"/>
      <c r="AC8" s="1060"/>
      <c r="AD8" s="1060"/>
      <c r="AE8" s="1061"/>
      <c r="AF8" s="1060"/>
      <c r="AG8" s="1060"/>
      <c r="AH8" s="1060"/>
      <c r="AI8" s="1060"/>
      <c r="AJ8" s="1060"/>
      <c r="AK8" s="1061"/>
      <c r="AL8" s="1060"/>
      <c r="AM8" s="1060"/>
      <c r="AN8" s="1060"/>
      <c r="AO8" s="1060"/>
      <c r="AP8" s="1060"/>
    </row>
    <row r="9" spans="1:42" x14ac:dyDescent="0.3">
      <c r="A9" s="1040">
        <v>98</v>
      </c>
      <c r="B9" s="1040">
        <v>75531</v>
      </c>
      <c r="C9" s="1040" t="s">
        <v>558</v>
      </c>
      <c r="D9" s="1040" t="str">
        <f t="shared" si="0"/>
        <v>061901</v>
      </c>
      <c r="E9" s="1040" t="s">
        <v>559</v>
      </c>
      <c r="F9" s="1040" t="str">
        <f t="shared" ref="F9:F35" si="1">"002"</f>
        <v>002</v>
      </c>
      <c r="H9" s="1041" t="str">
        <f>"13A"</f>
        <v>13A</v>
      </c>
      <c r="I9" s="1040" t="s">
        <v>589</v>
      </c>
      <c r="J9" s="1040">
        <v>409561</v>
      </c>
      <c r="K9" s="1045">
        <v>41408</v>
      </c>
      <c r="L9" s="1040" t="s">
        <v>561</v>
      </c>
      <c r="M9" s="1041">
        <v>1956</v>
      </c>
      <c r="N9" s="1041" t="s">
        <v>562</v>
      </c>
      <c r="O9" s="1041" t="s">
        <v>562</v>
      </c>
      <c r="P9" s="1041" t="s">
        <v>562</v>
      </c>
      <c r="Q9" s="1041" t="s">
        <v>562</v>
      </c>
      <c r="R9" s="1040">
        <v>18</v>
      </c>
      <c r="S9" s="1041">
        <v>2</v>
      </c>
      <c r="T9" s="1042">
        <v>354189</v>
      </c>
      <c r="U9" s="1042">
        <v>59446021</v>
      </c>
      <c r="V9" s="1042">
        <v>8536933</v>
      </c>
      <c r="W9" s="1042"/>
      <c r="X9" s="1042">
        <v>168</v>
      </c>
      <c r="Y9" s="1042">
        <v>24</v>
      </c>
      <c r="Z9" s="1040" t="s">
        <v>563</v>
      </c>
      <c r="AA9" s="1040" t="s">
        <v>590</v>
      </c>
      <c r="AB9" s="1040" t="s">
        <v>565</v>
      </c>
      <c r="AC9" s="1040" t="s">
        <v>566</v>
      </c>
      <c r="AD9" s="1040" t="s">
        <v>591</v>
      </c>
      <c r="AE9" s="1055"/>
      <c r="AF9" s="1040" t="s">
        <v>592</v>
      </c>
      <c r="AG9" s="1040">
        <v>3</v>
      </c>
      <c r="AH9" s="1040" t="s">
        <v>593</v>
      </c>
      <c r="AI9" s="1040" t="s">
        <v>594</v>
      </c>
      <c r="AJ9" s="1040" t="s">
        <v>571</v>
      </c>
      <c r="AK9" s="1041">
        <v>76201</v>
      </c>
      <c r="AL9" s="1040" t="s">
        <v>595</v>
      </c>
      <c r="AM9" s="1040" t="s">
        <v>596</v>
      </c>
      <c r="AN9" s="1040" t="s">
        <v>597</v>
      </c>
      <c r="AO9" s="1040">
        <v>56701000</v>
      </c>
      <c r="AP9" s="1040">
        <v>409561</v>
      </c>
    </row>
    <row r="10" spans="1:42" x14ac:dyDescent="0.3">
      <c r="A10" s="1040">
        <v>98</v>
      </c>
      <c r="B10" s="1040">
        <v>75531</v>
      </c>
      <c r="C10" s="1040" t="s">
        <v>558</v>
      </c>
      <c r="D10" s="1040" t="str">
        <f t="shared" si="0"/>
        <v>061901</v>
      </c>
      <c r="E10" s="1040" t="s">
        <v>559</v>
      </c>
      <c r="F10" s="1040" t="str">
        <f t="shared" si="1"/>
        <v>002</v>
      </c>
      <c r="G10" s="1040" t="s">
        <v>588</v>
      </c>
      <c r="H10" s="1041" t="str">
        <f>"13B"</f>
        <v>13B</v>
      </c>
      <c r="I10" s="1040" t="s">
        <v>598</v>
      </c>
      <c r="J10" s="1040">
        <v>409562</v>
      </c>
      <c r="K10" s="1045">
        <v>41408</v>
      </c>
      <c r="L10" s="1040" t="s">
        <v>561</v>
      </c>
      <c r="M10" s="1041">
        <v>2009</v>
      </c>
      <c r="N10" s="1041" t="s">
        <v>576</v>
      </c>
      <c r="O10" s="1041" t="s">
        <v>562</v>
      </c>
      <c r="P10" s="1041" t="s">
        <v>562</v>
      </c>
      <c r="Q10" s="1041" t="s">
        <v>562</v>
      </c>
      <c r="R10" s="1040">
        <v>18</v>
      </c>
      <c r="S10" s="1041">
        <v>2</v>
      </c>
      <c r="T10" s="1042">
        <v>42873</v>
      </c>
      <c r="U10" s="1042">
        <v>6594513</v>
      </c>
      <c r="V10" s="1042">
        <v>540649</v>
      </c>
      <c r="W10" s="1042"/>
      <c r="X10" s="1042">
        <v>154</v>
      </c>
      <c r="Y10" s="1042">
        <v>13</v>
      </c>
      <c r="Z10" s="1040" t="s">
        <v>563</v>
      </c>
      <c r="AA10" s="1040" t="s">
        <v>599</v>
      </c>
      <c r="AB10" s="1040" t="s">
        <v>565</v>
      </c>
      <c r="AC10" s="1040" t="s">
        <v>566</v>
      </c>
      <c r="AD10" s="1040" t="s">
        <v>591</v>
      </c>
      <c r="AE10" s="1041"/>
      <c r="AF10" s="1040" t="s">
        <v>592</v>
      </c>
      <c r="AG10" s="1040">
        <v>1</v>
      </c>
      <c r="AH10" s="1040" t="s">
        <v>593</v>
      </c>
      <c r="AI10" s="1040" t="s">
        <v>594</v>
      </c>
      <c r="AJ10" s="1040" t="s">
        <v>571</v>
      </c>
      <c r="AK10" s="1041">
        <v>76201</v>
      </c>
      <c r="AL10" s="1040" t="s">
        <v>600</v>
      </c>
      <c r="AM10" s="1040" t="s">
        <v>601</v>
      </c>
      <c r="AN10" s="1040" t="s">
        <v>602</v>
      </c>
      <c r="AO10" s="1040">
        <v>6290000</v>
      </c>
      <c r="AP10" s="1040">
        <v>409562</v>
      </c>
    </row>
    <row r="11" spans="1:42" x14ac:dyDescent="0.3">
      <c r="A11" s="1040">
        <v>98</v>
      </c>
      <c r="B11" s="1040">
        <v>75531</v>
      </c>
      <c r="C11" s="1040" t="s">
        <v>558</v>
      </c>
      <c r="D11" s="1040" t="str">
        <f t="shared" si="0"/>
        <v>061901</v>
      </c>
      <c r="E11" s="1040" t="s">
        <v>559</v>
      </c>
      <c r="F11" s="1040" t="str">
        <f t="shared" si="1"/>
        <v>002</v>
      </c>
      <c r="G11" s="1040" t="s">
        <v>588</v>
      </c>
      <c r="H11" s="1041" t="str">
        <f>"13C"</f>
        <v>13C</v>
      </c>
      <c r="I11" s="1040" t="s">
        <v>603</v>
      </c>
      <c r="J11" s="1040">
        <v>409590</v>
      </c>
      <c r="K11" s="1045">
        <v>41408</v>
      </c>
      <c r="L11" s="1040" t="s">
        <v>561</v>
      </c>
      <c r="M11" s="1041">
        <v>1960</v>
      </c>
      <c r="N11" s="1041" t="s">
        <v>576</v>
      </c>
      <c r="O11" s="1041" t="s">
        <v>576</v>
      </c>
      <c r="P11" s="1041" t="s">
        <v>576</v>
      </c>
      <c r="Q11" s="1041" t="s">
        <v>576</v>
      </c>
      <c r="R11" s="1040">
        <v>12</v>
      </c>
      <c r="S11" s="1041">
        <v>1</v>
      </c>
      <c r="T11" s="1042">
        <v>600</v>
      </c>
      <c r="U11" s="1042">
        <v>118470</v>
      </c>
      <c r="V11" s="1042">
        <v>2026</v>
      </c>
      <c r="W11" s="1042"/>
      <c r="X11" s="1042">
        <v>197</v>
      </c>
      <c r="Y11" s="1042">
        <v>3</v>
      </c>
      <c r="Z11" s="1040" t="s">
        <v>604</v>
      </c>
      <c r="AA11" s="1040" t="s">
        <v>605</v>
      </c>
      <c r="AB11" s="1040" t="s">
        <v>606</v>
      </c>
      <c r="AC11" s="1040" t="s">
        <v>606</v>
      </c>
      <c r="AD11" s="1040" t="s">
        <v>607</v>
      </c>
      <c r="AE11" s="1055"/>
      <c r="AF11" s="1040" t="s">
        <v>592</v>
      </c>
      <c r="AG11" s="1040">
        <v>0</v>
      </c>
      <c r="AH11" s="1040" t="s">
        <v>593</v>
      </c>
      <c r="AI11" s="1040" t="s">
        <v>594</v>
      </c>
      <c r="AJ11" s="1040" t="s">
        <v>571</v>
      </c>
      <c r="AK11" s="1041">
        <v>76201</v>
      </c>
      <c r="AL11" s="1040" t="s">
        <v>608</v>
      </c>
      <c r="AM11" s="1040" t="s">
        <v>609</v>
      </c>
      <c r="AN11" s="1040"/>
      <c r="AO11" s="1040">
        <v>113000</v>
      </c>
      <c r="AP11" s="1040">
        <v>409590</v>
      </c>
    </row>
    <row r="12" spans="1:42" x14ac:dyDescent="0.3">
      <c r="A12" s="1040">
        <v>98</v>
      </c>
      <c r="B12" s="1040">
        <v>75531</v>
      </c>
      <c r="C12" s="1040" t="s">
        <v>558</v>
      </c>
      <c r="D12" s="1040" t="str">
        <f t="shared" si="0"/>
        <v>061901</v>
      </c>
      <c r="E12" s="1040" t="s">
        <v>559</v>
      </c>
      <c r="F12" s="1040" t="str">
        <f t="shared" si="1"/>
        <v>002</v>
      </c>
      <c r="G12" s="1040" t="s">
        <v>588</v>
      </c>
      <c r="H12" s="1041" t="str">
        <f>"13D"</f>
        <v>13D</v>
      </c>
      <c r="I12" s="1040" t="s">
        <v>610</v>
      </c>
      <c r="J12" s="1040">
        <v>409591</v>
      </c>
      <c r="K12" s="1045">
        <v>41408</v>
      </c>
      <c r="L12" s="1040" t="s">
        <v>561</v>
      </c>
      <c r="M12" s="1041">
        <v>2009</v>
      </c>
      <c r="N12" s="1041" t="s">
        <v>576</v>
      </c>
      <c r="O12" s="1041" t="s">
        <v>576</v>
      </c>
      <c r="P12" s="1041" t="s">
        <v>576</v>
      </c>
      <c r="Q12" s="1041" t="s">
        <v>576</v>
      </c>
      <c r="R12" s="1040">
        <v>10</v>
      </c>
      <c r="S12" s="1041">
        <v>1</v>
      </c>
      <c r="T12" s="1042">
        <v>144</v>
      </c>
      <c r="U12" s="1042">
        <v>6291</v>
      </c>
      <c r="V12" s="1042">
        <v>4088</v>
      </c>
      <c r="W12" s="1042"/>
      <c r="X12" s="1042">
        <v>44</v>
      </c>
      <c r="Y12" s="1042">
        <v>28</v>
      </c>
      <c r="Z12" s="1040" t="s">
        <v>611</v>
      </c>
      <c r="AA12" s="1040" t="s">
        <v>612</v>
      </c>
      <c r="AB12" s="1040" t="s">
        <v>606</v>
      </c>
      <c r="AC12" s="1040" t="s">
        <v>606</v>
      </c>
      <c r="AD12" s="1040" t="s">
        <v>581</v>
      </c>
      <c r="AE12" s="1054"/>
      <c r="AF12" s="1040" t="s">
        <v>582</v>
      </c>
      <c r="AG12" s="1040">
        <v>0</v>
      </c>
      <c r="AH12" s="1040" t="s">
        <v>593</v>
      </c>
      <c r="AI12" s="1040" t="s">
        <v>594</v>
      </c>
      <c r="AJ12" s="1040" t="s">
        <v>571</v>
      </c>
      <c r="AK12" s="1041">
        <v>76201</v>
      </c>
      <c r="AL12" s="1040" t="s">
        <v>595</v>
      </c>
      <c r="AM12" s="1040" t="s">
        <v>613</v>
      </c>
      <c r="AN12" s="1040"/>
      <c r="AO12" s="1040">
        <v>6000</v>
      </c>
      <c r="AP12" s="1040">
        <v>409591</v>
      </c>
    </row>
    <row r="13" spans="1:42" x14ac:dyDescent="0.3">
      <c r="A13" s="1040">
        <v>98</v>
      </c>
      <c r="B13" s="1040">
        <v>75531</v>
      </c>
      <c r="C13" s="1040" t="s">
        <v>558</v>
      </c>
      <c r="D13" s="1040" t="str">
        <f t="shared" si="0"/>
        <v>061901</v>
      </c>
      <c r="E13" s="1040" t="s">
        <v>559</v>
      </c>
      <c r="F13" s="1040" t="str">
        <f t="shared" si="1"/>
        <v>002</v>
      </c>
      <c r="G13" s="1040" t="s">
        <v>588</v>
      </c>
      <c r="H13" s="1041" t="str">
        <f>"13E"</f>
        <v>13E</v>
      </c>
      <c r="I13" s="1040" t="s">
        <v>614</v>
      </c>
      <c r="J13" s="1040">
        <v>409592</v>
      </c>
      <c r="K13" s="1045">
        <v>41408</v>
      </c>
      <c r="L13" s="1040" t="s">
        <v>561</v>
      </c>
      <c r="M13" s="1041">
        <v>1999</v>
      </c>
      <c r="N13" s="1041" t="s">
        <v>576</v>
      </c>
      <c r="O13" s="1041" t="s">
        <v>576</v>
      </c>
      <c r="P13" s="1041" t="s">
        <v>576</v>
      </c>
      <c r="Q13" s="1041" t="s">
        <v>576</v>
      </c>
      <c r="R13" s="1040">
        <v>10</v>
      </c>
      <c r="S13" s="1041">
        <v>1</v>
      </c>
      <c r="T13" s="1042">
        <v>408</v>
      </c>
      <c r="U13" s="1042">
        <v>17823</v>
      </c>
      <c r="V13" s="1042">
        <v>11242</v>
      </c>
      <c r="W13" s="1042"/>
      <c r="X13" s="1042">
        <v>44</v>
      </c>
      <c r="Y13" s="1042">
        <v>28</v>
      </c>
      <c r="Z13" s="1040" t="s">
        <v>577</v>
      </c>
      <c r="AA13" s="1040" t="s">
        <v>615</v>
      </c>
      <c r="AB13" s="1040" t="s">
        <v>606</v>
      </c>
      <c r="AC13" s="1040" t="s">
        <v>606</v>
      </c>
      <c r="AD13" s="1040" t="s">
        <v>616</v>
      </c>
      <c r="AE13" s="1041"/>
      <c r="AF13" s="1040" t="s">
        <v>582</v>
      </c>
      <c r="AG13" s="1040">
        <v>0</v>
      </c>
      <c r="AH13" s="1040" t="s">
        <v>593</v>
      </c>
      <c r="AI13" s="1040" t="s">
        <v>594</v>
      </c>
      <c r="AJ13" s="1040" t="s">
        <v>571</v>
      </c>
      <c r="AK13" s="1041">
        <v>76201</v>
      </c>
      <c r="AL13" s="1040" t="s">
        <v>617</v>
      </c>
      <c r="AM13" s="1040" t="s">
        <v>618</v>
      </c>
      <c r="AN13" s="1040"/>
      <c r="AO13" s="1040">
        <v>17000</v>
      </c>
      <c r="AP13" s="1040">
        <v>409592</v>
      </c>
    </row>
    <row r="14" spans="1:42" x14ac:dyDescent="0.3">
      <c r="A14" s="1040">
        <v>98</v>
      </c>
      <c r="B14" s="1040">
        <v>75531</v>
      </c>
      <c r="C14" s="1040" t="s">
        <v>558</v>
      </c>
      <c r="D14" s="1040" t="str">
        <f t="shared" si="0"/>
        <v>061901</v>
      </c>
      <c r="E14" s="1040" t="s">
        <v>559</v>
      </c>
      <c r="F14" s="1040" t="str">
        <f t="shared" si="1"/>
        <v>002</v>
      </c>
      <c r="G14" s="1040" t="s">
        <v>588</v>
      </c>
      <c r="H14" s="1041" t="str">
        <f>"13F"</f>
        <v>13F</v>
      </c>
      <c r="I14" s="1040" t="s">
        <v>619</v>
      </c>
      <c r="J14" s="1040">
        <v>409593</v>
      </c>
      <c r="K14" s="1045">
        <v>41408</v>
      </c>
      <c r="L14" s="1040" t="s">
        <v>561</v>
      </c>
      <c r="M14" s="1041">
        <v>2009</v>
      </c>
      <c r="N14" s="1041" t="s">
        <v>576</v>
      </c>
      <c r="O14" s="1041" t="s">
        <v>576</v>
      </c>
      <c r="P14" s="1041" t="s">
        <v>576</v>
      </c>
      <c r="Q14" s="1041" t="s">
        <v>576</v>
      </c>
      <c r="R14" s="1040">
        <v>8</v>
      </c>
      <c r="S14" s="1041">
        <v>1</v>
      </c>
      <c r="T14" s="1042">
        <v>400</v>
      </c>
      <c r="U14" s="1042">
        <v>20969</v>
      </c>
      <c r="V14" s="1042">
        <v>2026</v>
      </c>
      <c r="W14" s="1042"/>
      <c r="X14" s="1042">
        <v>52</v>
      </c>
      <c r="Y14" s="1042">
        <v>5</v>
      </c>
      <c r="Z14" s="1040" t="s">
        <v>563</v>
      </c>
      <c r="AA14" s="1040" t="s">
        <v>620</v>
      </c>
      <c r="AB14" s="1040" t="s">
        <v>606</v>
      </c>
      <c r="AC14" s="1040" t="s">
        <v>606</v>
      </c>
      <c r="AD14" s="1040" t="s">
        <v>581</v>
      </c>
      <c r="AE14" s="1054"/>
      <c r="AF14" s="1040" t="s">
        <v>582</v>
      </c>
      <c r="AG14" s="1040">
        <v>0</v>
      </c>
      <c r="AH14" s="1040" t="s">
        <v>593</v>
      </c>
      <c r="AI14" s="1040" t="s">
        <v>594</v>
      </c>
      <c r="AJ14" s="1040" t="s">
        <v>571</v>
      </c>
      <c r="AK14" s="1041">
        <v>76201</v>
      </c>
      <c r="AL14" s="1040" t="s">
        <v>621</v>
      </c>
      <c r="AM14" s="1040" t="s">
        <v>622</v>
      </c>
      <c r="AN14" s="1040"/>
      <c r="AO14" s="1040">
        <v>20000</v>
      </c>
      <c r="AP14" s="1040">
        <v>409593</v>
      </c>
    </row>
    <row r="15" spans="1:42" x14ac:dyDescent="0.3">
      <c r="A15" s="1040">
        <v>98</v>
      </c>
      <c r="B15" s="1040">
        <v>75531</v>
      </c>
      <c r="C15" s="1040" t="s">
        <v>558</v>
      </c>
      <c r="D15" s="1040" t="str">
        <f t="shared" si="0"/>
        <v>061901</v>
      </c>
      <c r="E15" s="1040" t="s">
        <v>559</v>
      </c>
      <c r="F15" s="1040" t="str">
        <f t="shared" si="1"/>
        <v>002</v>
      </c>
      <c r="G15" s="1040" t="s">
        <v>588</v>
      </c>
      <c r="H15" s="1041" t="str">
        <f>"13G"</f>
        <v>13G</v>
      </c>
      <c r="I15" s="1040" t="s">
        <v>623</v>
      </c>
      <c r="J15" s="1040">
        <v>409594</v>
      </c>
      <c r="K15" s="1045">
        <v>41408</v>
      </c>
      <c r="L15" s="1040" t="s">
        <v>561</v>
      </c>
      <c r="M15" s="1041">
        <v>2009</v>
      </c>
      <c r="N15" s="1041" t="s">
        <v>576</v>
      </c>
      <c r="O15" s="1041" t="s">
        <v>576</v>
      </c>
      <c r="P15" s="1041" t="s">
        <v>576</v>
      </c>
      <c r="Q15" s="1041" t="s">
        <v>576</v>
      </c>
      <c r="R15" s="1040">
        <v>8</v>
      </c>
      <c r="S15" s="1041">
        <v>1</v>
      </c>
      <c r="T15" s="1042">
        <v>400</v>
      </c>
      <c r="U15" s="1042">
        <v>20969</v>
      </c>
      <c r="V15" s="1042">
        <v>2026</v>
      </c>
      <c r="W15" s="1042"/>
      <c r="X15" s="1042">
        <v>52</v>
      </c>
      <c r="Y15" s="1042">
        <v>5</v>
      </c>
      <c r="Z15" s="1040" t="s">
        <v>563</v>
      </c>
      <c r="AA15" s="1040" t="s">
        <v>620</v>
      </c>
      <c r="AB15" s="1040" t="s">
        <v>606</v>
      </c>
      <c r="AC15" s="1040" t="s">
        <v>606</v>
      </c>
      <c r="AD15" s="1040" t="s">
        <v>581</v>
      </c>
      <c r="AE15" s="1054"/>
      <c r="AF15" s="1040" t="s">
        <v>582</v>
      </c>
      <c r="AG15" s="1040">
        <v>0</v>
      </c>
      <c r="AH15" s="1040" t="s">
        <v>593</v>
      </c>
      <c r="AI15" s="1040" t="s">
        <v>594</v>
      </c>
      <c r="AJ15" s="1040" t="s">
        <v>571</v>
      </c>
      <c r="AK15" s="1041">
        <v>76201</v>
      </c>
      <c r="AL15" s="1040" t="s">
        <v>624</v>
      </c>
      <c r="AM15" s="1040" t="s">
        <v>625</v>
      </c>
      <c r="AN15" s="1040"/>
      <c r="AO15" s="1040">
        <v>20000</v>
      </c>
      <c r="AP15" s="1040">
        <v>409594</v>
      </c>
    </row>
    <row r="16" spans="1:42" x14ac:dyDescent="0.3">
      <c r="A16" s="1040">
        <v>98</v>
      </c>
      <c r="B16" s="1040">
        <v>75531</v>
      </c>
      <c r="C16" s="1040" t="s">
        <v>558</v>
      </c>
      <c r="D16" s="1040" t="str">
        <f t="shared" si="0"/>
        <v>061901</v>
      </c>
      <c r="E16" s="1040" t="s">
        <v>559</v>
      </c>
      <c r="F16" s="1040" t="str">
        <f t="shared" si="1"/>
        <v>002</v>
      </c>
      <c r="G16" s="1040" t="s">
        <v>588</v>
      </c>
      <c r="H16" s="1041" t="str">
        <f>"13H"</f>
        <v>13H</v>
      </c>
      <c r="I16" s="1040" t="s">
        <v>626</v>
      </c>
      <c r="J16" s="1040">
        <v>409595</v>
      </c>
      <c r="K16" s="1045">
        <v>41408</v>
      </c>
      <c r="L16" s="1040" t="s">
        <v>561</v>
      </c>
      <c r="M16" s="1041">
        <v>1999</v>
      </c>
      <c r="N16" s="1041" t="s">
        <v>576</v>
      </c>
      <c r="O16" s="1041" t="s">
        <v>576</v>
      </c>
      <c r="P16" s="1041" t="s">
        <v>576</v>
      </c>
      <c r="Q16" s="1041" t="s">
        <v>576</v>
      </c>
      <c r="R16" s="1040">
        <v>7</v>
      </c>
      <c r="S16" s="1041">
        <v>1</v>
      </c>
      <c r="T16" s="1042">
        <v>40</v>
      </c>
      <c r="U16" s="1042">
        <v>13629</v>
      </c>
      <c r="V16" s="1042">
        <v>0</v>
      </c>
      <c r="W16" s="1042"/>
      <c r="X16" s="1042">
        <v>341</v>
      </c>
      <c r="Y16" s="1042">
        <v>0</v>
      </c>
      <c r="Z16" s="1040" t="s">
        <v>577</v>
      </c>
      <c r="AA16" s="1040" t="s">
        <v>615</v>
      </c>
      <c r="AB16" s="1040" t="s">
        <v>606</v>
      </c>
      <c r="AC16" s="1040" t="s">
        <v>580</v>
      </c>
      <c r="AD16" s="1040" t="s">
        <v>616</v>
      </c>
      <c r="AE16" s="1041"/>
      <c r="AF16" s="1040" t="s">
        <v>592</v>
      </c>
      <c r="AG16" s="1040">
        <v>0</v>
      </c>
      <c r="AH16" s="1040" t="s">
        <v>593</v>
      </c>
      <c r="AI16" s="1040" t="s">
        <v>594</v>
      </c>
      <c r="AJ16" s="1040" t="s">
        <v>571</v>
      </c>
      <c r="AK16" s="1041">
        <v>76201</v>
      </c>
      <c r="AL16" s="1040" t="s">
        <v>621</v>
      </c>
      <c r="AM16" s="1040" t="s">
        <v>627</v>
      </c>
      <c r="AN16" s="1040" t="s">
        <v>628</v>
      </c>
      <c r="AO16" s="1040">
        <v>13000</v>
      </c>
      <c r="AP16" s="1040">
        <v>409595</v>
      </c>
    </row>
    <row r="17" spans="1:42" x14ac:dyDescent="0.3">
      <c r="A17" s="1040">
        <v>98</v>
      </c>
      <c r="B17" s="1040">
        <v>75531</v>
      </c>
      <c r="C17" s="1040" t="s">
        <v>558</v>
      </c>
      <c r="D17" s="1040" t="str">
        <f t="shared" si="0"/>
        <v>061901</v>
      </c>
      <c r="E17" s="1040" t="s">
        <v>559</v>
      </c>
      <c r="F17" s="1040" t="str">
        <f t="shared" si="1"/>
        <v>002</v>
      </c>
      <c r="G17" s="1040" t="s">
        <v>588</v>
      </c>
      <c r="H17" s="1041" t="str">
        <f>"13I"</f>
        <v>13I</v>
      </c>
      <c r="I17" s="1040" t="s">
        <v>629</v>
      </c>
      <c r="J17" s="1040">
        <v>409596</v>
      </c>
      <c r="K17" s="1045">
        <v>41408</v>
      </c>
      <c r="L17" s="1040" t="s">
        <v>561</v>
      </c>
      <c r="M17" s="1041">
        <v>1999</v>
      </c>
      <c r="N17" s="1041" t="s">
        <v>576</v>
      </c>
      <c r="O17" s="1041" t="s">
        <v>576</v>
      </c>
      <c r="P17" s="1041" t="s">
        <v>576</v>
      </c>
      <c r="Q17" s="1041" t="s">
        <v>576</v>
      </c>
      <c r="R17" s="1040">
        <v>8</v>
      </c>
      <c r="S17" s="1041">
        <v>1</v>
      </c>
      <c r="T17" s="1042">
        <v>204</v>
      </c>
      <c r="U17" s="1042">
        <v>14678</v>
      </c>
      <c r="V17" s="1042">
        <v>2026</v>
      </c>
      <c r="W17" s="1042"/>
      <c r="X17" s="1042">
        <v>72</v>
      </c>
      <c r="Y17" s="1042">
        <v>10</v>
      </c>
      <c r="Z17" s="1040" t="s">
        <v>577</v>
      </c>
      <c r="AA17" s="1040" t="s">
        <v>615</v>
      </c>
      <c r="AB17" s="1040" t="s">
        <v>606</v>
      </c>
      <c r="AC17" s="1040" t="s">
        <v>606</v>
      </c>
      <c r="AD17" s="1040" t="s">
        <v>616</v>
      </c>
      <c r="AE17" s="1041"/>
      <c r="AF17" s="1040" t="s">
        <v>582</v>
      </c>
      <c r="AG17" s="1040">
        <v>0</v>
      </c>
      <c r="AH17" s="1040" t="s">
        <v>593</v>
      </c>
      <c r="AI17" s="1040" t="s">
        <v>594</v>
      </c>
      <c r="AJ17" s="1040" t="s">
        <v>571</v>
      </c>
      <c r="AK17" s="1041">
        <v>76201</v>
      </c>
      <c r="AL17" s="1040" t="s">
        <v>608</v>
      </c>
      <c r="AM17" s="1040" t="s">
        <v>630</v>
      </c>
      <c r="AN17" s="1040"/>
      <c r="AO17" s="1040">
        <v>14000</v>
      </c>
      <c r="AP17" s="1040">
        <v>409596</v>
      </c>
    </row>
    <row r="18" spans="1:42" x14ac:dyDescent="0.3">
      <c r="A18" s="1040">
        <v>98</v>
      </c>
      <c r="B18" s="1040">
        <v>75531</v>
      </c>
      <c r="C18" s="1040" t="s">
        <v>558</v>
      </c>
      <c r="D18" s="1040" t="str">
        <f t="shared" si="0"/>
        <v>061901</v>
      </c>
      <c r="E18" s="1040" t="s">
        <v>559</v>
      </c>
      <c r="F18" s="1040" t="str">
        <f t="shared" si="1"/>
        <v>002</v>
      </c>
      <c r="G18" s="1040" t="s">
        <v>588</v>
      </c>
      <c r="H18" s="1041" t="str">
        <f>"13J"</f>
        <v>13J</v>
      </c>
      <c r="I18" s="1040" t="s">
        <v>631</v>
      </c>
      <c r="J18" s="1040">
        <v>409597</v>
      </c>
      <c r="K18" s="1045">
        <v>41408</v>
      </c>
      <c r="L18" s="1040" t="s">
        <v>561</v>
      </c>
      <c r="M18" s="1041">
        <v>1980</v>
      </c>
      <c r="N18" s="1041" t="s">
        <v>576</v>
      </c>
      <c r="O18" s="1041" t="s">
        <v>576</v>
      </c>
      <c r="P18" s="1041" t="s">
        <v>576</v>
      </c>
      <c r="Q18" s="1041" t="s">
        <v>576</v>
      </c>
      <c r="R18" s="1040">
        <v>10</v>
      </c>
      <c r="S18" s="1041">
        <v>1</v>
      </c>
      <c r="T18" s="1042">
        <v>272</v>
      </c>
      <c r="U18" s="1042">
        <v>14678</v>
      </c>
      <c r="V18" s="1042">
        <v>4088</v>
      </c>
      <c r="W18" s="1042"/>
      <c r="X18" s="1042">
        <v>54</v>
      </c>
      <c r="Y18" s="1042">
        <v>15</v>
      </c>
      <c r="Z18" s="1040" t="s">
        <v>604</v>
      </c>
      <c r="AA18" s="1040" t="s">
        <v>632</v>
      </c>
      <c r="AB18" s="1040" t="s">
        <v>606</v>
      </c>
      <c r="AC18" s="1040" t="s">
        <v>606</v>
      </c>
      <c r="AD18" s="1040" t="s">
        <v>581</v>
      </c>
      <c r="AE18" s="1054"/>
      <c r="AF18" s="1040" t="s">
        <v>592</v>
      </c>
      <c r="AG18" s="1040">
        <v>0</v>
      </c>
      <c r="AH18" s="1040" t="s">
        <v>593</v>
      </c>
      <c r="AI18" s="1040" t="s">
        <v>594</v>
      </c>
      <c r="AJ18" s="1040" t="s">
        <v>571</v>
      </c>
      <c r="AK18" s="1041">
        <v>76201</v>
      </c>
      <c r="AL18" s="1040" t="s">
        <v>633</v>
      </c>
      <c r="AM18" s="1040" t="s">
        <v>634</v>
      </c>
      <c r="AN18" s="1040"/>
      <c r="AO18" s="1040">
        <v>14000</v>
      </c>
      <c r="AP18" s="1040">
        <v>409597</v>
      </c>
    </row>
    <row r="19" spans="1:42" x14ac:dyDescent="0.3">
      <c r="A19" s="1040">
        <v>98</v>
      </c>
      <c r="B19" s="1040">
        <v>75531</v>
      </c>
      <c r="C19" s="1040" t="s">
        <v>558</v>
      </c>
      <c r="D19" s="1040" t="str">
        <f t="shared" si="0"/>
        <v>061901</v>
      </c>
      <c r="E19" s="1040" t="s">
        <v>559</v>
      </c>
      <c r="F19" s="1040" t="str">
        <f t="shared" si="1"/>
        <v>002</v>
      </c>
      <c r="G19" s="1040" t="s">
        <v>588</v>
      </c>
      <c r="H19" s="1041" t="str">
        <f>"13K"</f>
        <v>13K</v>
      </c>
      <c r="I19" s="1040" t="s">
        <v>635</v>
      </c>
      <c r="J19" s="1040">
        <v>409563</v>
      </c>
      <c r="K19" s="1045">
        <v>41408</v>
      </c>
      <c r="L19" s="1040" t="s">
        <v>561</v>
      </c>
      <c r="M19" s="1041">
        <v>2002</v>
      </c>
      <c r="N19" s="1041" t="s">
        <v>576</v>
      </c>
      <c r="O19" s="1041" t="s">
        <v>562</v>
      </c>
      <c r="P19" s="1041" t="s">
        <v>562</v>
      </c>
      <c r="Q19" s="1041" t="s">
        <v>562</v>
      </c>
      <c r="R19" s="1040">
        <v>14</v>
      </c>
      <c r="S19" s="1041">
        <v>3</v>
      </c>
      <c r="T19" s="1042">
        <v>2816</v>
      </c>
      <c r="U19" s="1042">
        <v>1427937</v>
      </c>
      <c r="V19" s="1042">
        <v>16352</v>
      </c>
      <c r="W19" s="1042"/>
      <c r="X19" s="1042">
        <v>507</v>
      </c>
      <c r="Y19" s="1042">
        <v>6</v>
      </c>
      <c r="Z19" s="1040" t="s">
        <v>563</v>
      </c>
      <c r="AA19" s="1040" t="s">
        <v>636</v>
      </c>
      <c r="AB19" s="1040" t="s">
        <v>637</v>
      </c>
      <c r="AC19" s="1040" t="s">
        <v>638</v>
      </c>
      <c r="AD19" s="1040" t="s">
        <v>591</v>
      </c>
      <c r="AE19" s="1041"/>
      <c r="AF19" s="1040" t="s">
        <v>592</v>
      </c>
      <c r="AG19" s="1040">
        <v>1</v>
      </c>
      <c r="AH19" s="1040" t="s">
        <v>593</v>
      </c>
      <c r="AI19" s="1040" t="s">
        <v>594</v>
      </c>
      <c r="AJ19" s="1040" t="s">
        <v>571</v>
      </c>
      <c r="AK19" s="1041">
        <v>76201</v>
      </c>
      <c r="AL19" s="1040" t="s">
        <v>639</v>
      </c>
      <c r="AM19" s="1040" t="s">
        <v>640</v>
      </c>
      <c r="AN19" s="1040" t="s">
        <v>641</v>
      </c>
      <c r="AO19" s="1040">
        <v>1362000</v>
      </c>
      <c r="AP19" s="1040">
        <v>409563</v>
      </c>
    </row>
    <row r="20" spans="1:42" x14ac:dyDescent="0.3">
      <c r="A20" s="1040">
        <v>98</v>
      </c>
      <c r="B20" s="1040">
        <v>75531</v>
      </c>
      <c r="C20" s="1040" t="s">
        <v>558</v>
      </c>
      <c r="D20" s="1040" t="str">
        <f t="shared" si="0"/>
        <v>061901</v>
      </c>
      <c r="E20" s="1040" t="s">
        <v>559</v>
      </c>
      <c r="F20" s="1040" t="str">
        <f t="shared" si="1"/>
        <v>002</v>
      </c>
      <c r="G20" s="1040" t="s">
        <v>588</v>
      </c>
      <c r="H20" s="1041" t="str">
        <f>"13L"</f>
        <v>13L</v>
      </c>
      <c r="I20" s="1040" t="s">
        <v>642</v>
      </c>
      <c r="J20" s="1040">
        <v>409564</v>
      </c>
      <c r="K20" s="1045">
        <v>41408</v>
      </c>
      <c r="L20" s="1040" t="s">
        <v>561</v>
      </c>
      <c r="M20" s="1041">
        <v>1990</v>
      </c>
      <c r="N20" s="1041" t="s">
        <v>576</v>
      </c>
      <c r="O20" s="1041" t="s">
        <v>576</v>
      </c>
      <c r="P20" s="1041" t="s">
        <v>576</v>
      </c>
      <c r="Q20" s="1041" t="s">
        <v>576</v>
      </c>
      <c r="R20" s="1040">
        <v>10</v>
      </c>
      <c r="S20" s="1041">
        <v>1</v>
      </c>
      <c r="T20" s="1042">
        <v>1617</v>
      </c>
      <c r="U20" s="1042">
        <v>196053</v>
      </c>
      <c r="V20" s="1042">
        <v>7154</v>
      </c>
      <c r="W20" s="1042"/>
      <c r="X20" s="1042">
        <v>121</v>
      </c>
      <c r="Y20" s="1042">
        <v>4</v>
      </c>
      <c r="Z20" s="1040" t="s">
        <v>604</v>
      </c>
      <c r="AA20" s="1040" t="s">
        <v>632</v>
      </c>
      <c r="AB20" s="1040" t="s">
        <v>606</v>
      </c>
      <c r="AC20" s="1040" t="s">
        <v>606</v>
      </c>
      <c r="AD20" s="1040" t="s">
        <v>643</v>
      </c>
      <c r="AE20" s="1041"/>
      <c r="AF20" s="1040" t="s">
        <v>582</v>
      </c>
      <c r="AG20" s="1040">
        <v>0</v>
      </c>
      <c r="AH20" s="1040" t="s">
        <v>593</v>
      </c>
      <c r="AI20" s="1040" t="s">
        <v>594</v>
      </c>
      <c r="AJ20" s="1040" t="s">
        <v>571</v>
      </c>
      <c r="AK20" s="1041">
        <v>76201</v>
      </c>
      <c r="AL20" s="1040" t="s">
        <v>644</v>
      </c>
      <c r="AM20" s="1040" t="s">
        <v>634</v>
      </c>
      <c r="AN20" s="1040" t="s">
        <v>602</v>
      </c>
      <c r="AO20" s="1040">
        <v>187000</v>
      </c>
      <c r="AP20" s="1040">
        <v>409564</v>
      </c>
    </row>
    <row r="21" spans="1:42" x14ac:dyDescent="0.3">
      <c r="A21" s="1040">
        <v>98</v>
      </c>
      <c r="B21" s="1040">
        <v>75531</v>
      </c>
      <c r="C21" s="1040" t="s">
        <v>558</v>
      </c>
      <c r="D21" s="1040" t="str">
        <f t="shared" si="0"/>
        <v>061901</v>
      </c>
      <c r="E21" s="1040" t="s">
        <v>559</v>
      </c>
      <c r="F21" s="1040" t="str">
        <f t="shared" si="1"/>
        <v>002</v>
      </c>
      <c r="G21" s="1040" t="s">
        <v>588</v>
      </c>
      <c r="H21" s="1041" t="str">
        <f>"13M"</f>
        <v>13M</v>
      </c>
      <c r="I21" s="1040" t="s">
        <v>645</v>
      </c>
      <c r="J21" s="1040">
        <v>409598</v>
      </c>
      <c r="K21" s="1045">
        <v>41408</v>
      </c>
      <c r="L21" s="1040" t="s">
        <v>561</v>
      </c>
      <c r="M21" s="1041">
        <v>2009</v>
      </c>
      <c r="N21" s="1041" t="s">
        <v>576</v>
      </c>
      <c r="O21" s="1041" t="s">
        <v>576</v>
      </c>
      <c r="P21" s="1041" t="s">
        <v>576</v>
      </c>
      <c r="Q21" s="1041" t="s">
        <v>576</v>
      </c>
      <c r="R21" s="1040">
        <v>8</v>
      </c>
      <c r="S21" s="1041">
        <v>1</v>
      </c>
      <c r="T21" s="1042">
        <v>160</v>
      </c>
      <c r="U21" s="1042">
        <v>15726</v>
      </c>
      <c r="V21" s="1042">
        <v>2026</v>
      </c>
      <c r="W21" s="1042"/>
      <c r="X21" s="1042">
        <v>98</v>
      </c>
      <c r="Y21" s="1042">
        <v>13</v>
      </c>
      <c r="Z21" s="1040" t="s">
        <v>563</v>
      </c>
      <c r="AA21" s="1040" t="s">
        <v>605</v>
      </c>
      <c r="AB21" s="1040" t="s">
        <v>606</v>
      </c>
      <c r="AC21" s="1040" t="s">
        <v>606</v>
      </c>
      <c r="AD21" s="1040" t="s">
        <v>581</v>
      </c>
      <c r="AE21" s="1054"/>
      <c r="AF21" s="1040" t="s">
        <v>582</v>
      </c>
      <c r="AG21" s="1040">
        <v>0</v>
      </c>
      <c r="AH21" s="1040" t="s">
        <v>593</v>
      </c>
      <c r="AI21" s="1040" t="s">
        <v>594</v>
      </c>
      <c r="AJ21" s="1040" t="s">
        <v>571</v>
      </c>
      <c r="AK21" s="1041">
        <v>76201</v>
      </c>
      <c r="AL21" s="1040" t="s">
        <v>646</v>
      </c>
      <c r="AM21" s="1040" t="s">
        <v>647</v>
      </c>
      <c r="AN21" s="1040" t="s">
        <v>648</v>
      </c>
      <c r="AO21" s="1040">
        <v>15000</v>
      </c>
      <c r="AP21" s="1040">
        <v>409598</v>
      </c>
    </row>
    <row r="22" spans="1:42" x14ac:dyDescent="0.3">
      <c r="A22" s="1040">
        <v>98</v>
      </c>
      <c r="B22" s="1040">
        <v>75531</v>
      </c>
      <c r="C22" s="1040" t="s">
        <v>558</v>
      </c>
      <c r="D22" s="1040" t="str">
        <f t="shared" si="0"/>
        <v>061901</v>
      </c>
      <c r="E22" s="1040" t="s">
        <v>559</v>
      </c>
      <c r="F22" s="1040" t="str">
        <f t="shared" si="1"/>
        <v>002</v>
      </c>
      <c r="G22" s="1040" t="s">
        <v>588</v>
      </c>
      <c r="H22" s="1041" t="str">
        <f>"13N"</f>
        <v>13N</v>
      </c>
      <c r="I22" s="1040" t="s">
        <v>649</v>
      </c>
      <c r="J22" s="1040">
        <v>409599</v>
      </c>
      <c r="K22" s="1045">
        <v>41408</v>
      </c>
      <c r="L22" s="1040" t="s">
        <v>561</v>
      </c>
      <c r="M22" s="1041">
        <v>1980</v>
      </c>
      <c r="N22" s="1041" t="s">
        <v>576</v>
      </c>
      <c r="O22" s="1041" t="s">
        <v>576</v>
      </c>
      <c r="P22" s="1041" t="s">
        <v>576</v>
      </c>
      <c r="Q22" s="1041" t="s">
        <v>576</v>
      </c>
      <c r="R22" s="1040">
        <v>10</v>
      </c>
      <c r="S22" s="1041">
        <v>1</v>
      </c>
      <c r="T22" s="1042">
        <v>272</v>
      </c>
      <c r="U22" s="1042">
        <v>14678</v>
      </c>
      <c r="V22" s="1042">
        <v>4088</v>
      </c>
      <c r="W22" s="1042"/>
      <c r="X22" s="1042">
        <v>54</v>
      </c>
      <c r="Y22" s="1042">
        <v>15</v>
      </c>
      <c r="Z22" s="1040" t="s">
        <v>604</v>
      </c>
      <c r="AA22" s="1040" t="s">
        <v>632</v>
      </c>
      <c r="AB22" s="1040" t="s">
        <v>606</v>
      </c>
      <c r="AC22" s="1040" t="s">
        <v>606</v>
      </c>
      <c r="AD22" s="1040" t="s">
        <v>581</v>
      </c>
      <c r="AE22" s="1054"/>
      <c r="AF22" s="1040" t="s">
        <v>592</v>
      </c>
      <c r="AG22" s="1040">
        <v>0</v>
      </c>
      <c r="AH22" s="1040" t="s">
        <v>593</v>
      </c>
      <c r="AI22" s="1040" t="s">
        <v>594</v>
      </c>
      <c r="AJ22" s="1040" t="s">
        <v>571</v>
      </c>
      <c r="AK22" s="1041">
        <v>76201</v>
      </c>
      <c r="AL22" s="1040" t="s">
        <v>650</v>
      </c>
      <c r="AM22" s="1040" t="s">
        <v>640</v>
      </c>
      <c r="AN22" s="1040"/>
      <c r="AO22" s="1040">
        <v>14000</v>
      </c>
      <c r="AP22" s="1040">
        <v>409599</v>
      </c>
    </row>
    <row r="23" spans="1:42" x14ac:dyDescent="0.3">
      <c r="A23" s="1040">
        <v>98</v>
      </c>
      <c r="B23" s="1040">
        <v>75531</v>
      </c>
      <c r="C23" s="1040" t="s">
        <v>558</v>
      </c>
      <c r="D23" s="1040" t="str">
        <f t="shared" si="0"/>
        <v>061901</v>
      </c>
      <c r="E23" s="1040" t="s">
        <v>559</v>
      </c>
      <c r="F23" s="1040" t="str">
        <f t="shared" si="1"/>
        <v>002</v>
      </c>
      <c r="G23" s="1040" t="s">
        <v>588</v>
      </c>
      <c r="H23" s="1041" t="str">
        <f>"13O"</f>
        <v>13O</v>
      </c>
      <c r="I23" s="1040" t="s">
        <v>651</v>
      </c>
      <c r="J23" s="1040">
        <v>409565</v>
      </c>
      <c r="K23" s="1045">
        <v>41408</v>
      </c>
      <c r="L23" s="1040" t="s">
        <v>561</v>
      </c>
      <c r="M23" s="1041">
        <v>2009</v>
      </c>
      <c r="N23" s="1041" t="s">
        <v>576</v>
      </c>
      <c r="O23" s="1041" t="s">
        <v>576</v>
      </c>
      <c r="P23" s="1041" t="s">
        <v>576</v>
      </c>
      <c r="Q23" s="1041" t="s">
        <v>576</v>
      </c>
      <c r="R23" s="1040">
        <v>12</v>
      </c>
      <c r="S23" s="1041">
        <v>1</v>
      </c>
      <c r="T23" s="1042">
        <v>1098</v>
      </c>
      <c r="U23" s="1042">
        <v>139438</v>
      </c>
      <c r="V23" s="1042">
        <v>4088</v>
      </c>
      <c r="W23" s="1042"/>
      <c r="X23" s="1042">
        <v>127</v>
      </c>
      <c r="Y23" s="1042">
        <v>4</v>
      </c>
      <c r="Z23" s="1040" t="s">
        <v>604</v>
      </c>
      <c r="AA23" s="1040" t="s">
        <v>652</v>
      </c>
      <c r="AB23" s="1040" t="s">
        <v>606</v>
      </c>
      <c r="AC23" s="1040" t="s">
        <v>606</v>
      </c>
      <c r="AD23" s="1040" t="s">
        <v>643</v>
      </c>
      <c r="AE23" s="1041"/>
      <c r="AF23" s="1040" t="s">
        <v>582</v>
      </c>
      <c r="AG23" s="1040">
        <v>0</v>
      </c>
      <c r="AH23" s="1040" t="s">
        <v>593</v>
      </c>
      <c r="AI23" s="1040" t="s">
        <v>594</v>
      </c>
      <c r="AJ23" s="1040" t="s">
        <v>571</v>
      </c>
      <c r="AK23" s="1041">
        <v>76201</v>
      </c>
      <c r="AL23" s="1040" t="s">
        <v>653</v>
      </c>
      <c r="AM23" s="1040" t="s">
        <v>654</v>
      </c>
      <c r="AN23" s="1040" t="s">
        <v>602</v>
      </c>
      <c r="AO23" s="1040">
        <v>133000</v>
      </c>
      <c r="AP23" s="1040">
        <v>409565</v>
      </c>
    </row>
    <row r="24" spans="1:42" x14ac:dyDescent="0.3">
      <c r="A24" s="1040">
        <v>98</v>
      </c>
      <c r="B24" s="1040">
        <v>75531</v>
      </c>
      <c r="C24" s="1040" t="s">
        <v>558</v>
      </c>
      <c r="D24" s="1040" t="str">
        <f t="shared" si="0"/>
        <v>061901</v>
      </c>
      <c r="E24" s="1040" t="s">
        <v>559</v>
      </c>
      <c r="F24" s="1040" t="str">
        <f t="shared" si="1"/>
        <v>002</v>
      </c>
      <c r="G24" s="1040" t="s">
        <v>588</v>
      </c>
      <c r="H24" s="1041" t="str">
        <f>"13P"</f>
        <v>13P</v>
      </c>
      <c r="I24" s="1040" t="s">
        <v>655</v>
      </c>
      <c r="J24" s="1040">
        <v>409600</v>
      </c>
      <c r="K24" s="1045">
        <v>41408</v>
      </c>
      <c r="L24" s="1040" t="s">
        <v>561</v>
      </c>
      <c r="M24" s="1041">
        <v>1980</v>
      </c>
      <c r="N24" s="1041" t="s">
        <v>576</v>
      </c>
      <c r="O24" s="1041" t="s">
        <v>576</v>
      </c>
      <c r="P24" s="1041" t="s">
        <v>576</v>
      </c>
      <c r="Q24" s="1041" t="s">
        <v>576</v>
      </c>
      <c r="R24" s="1040">
        <v>8</v>
      </c>
      <c r="S24" s="1041">
        <v>1</v>
      </c>
      <c r="T24" s="1042">
        <v>320</v>
      </c>
      <c r="U24" s="1042">
        <v>475979</v>
      </c>
      <c r="V24" s="1042">
        <v>2026</v>
      </c>
      <c r="W24" s="1042"/>
      <c r="X24" s="1042">
        <v>1487</v>
      </c>
      <c r="Y24" s="1042">
        <v>6</v>
      </c>
      <c r="Z24" s="1040" t="s">
        <v>577</v>
      </c>
      <c r="AA24" s="1040" t="s">
        <v>578</v>
      </c>
      <c r="AB24" s="1040" t="s">
        <v>606</v>
      </c>
      <c r="AC24" s="1040" t="s">
        <v>606</v>
      </c>
      <c r="AD24" s="1040" t="s">
        <v>581</v>
      </c>
      <c r="AE24" s="1054"/>
      <c r="AF24" s="1040" t="s">
        <v>592</v>
      </c>
      <c r="AG24" s="1040">
        <v>0</v>
      </c>
      <c r="AH24" s="1040" t="s">
        <v>593</v>
      </c>
      <c r="AI24" s="1040" t="s">
        <v>594</v>
      </c>
      <c r="AJ24" s="1040" t="s">
        <v>571</v>
      </c>
      <c r="AK24" s="1041">
        <v>76201</v>
      </c>
      <c r="AL24" s="1040" t="s">
        <v>656</v>
      </c>
      <c r="AM24" s="1040" t="s">
        <v>657</v>
      </c>
      <c r="AN24" s="1040" t="s">
        <v>641</v>
      </c>
      <c r="AO24" s="1040">
        <v>454000</v>
      </c>
      <c r="AP24" s="1040">
        <v>409600</v>
      </c>
    </row>
    <row r="25" spans="1:42" x14ac:dyDescent="0.3">
      <c r="A25" s="1040">
        <v>98</v>
      </c>
      <c r="B25" s="1040">
        <v>75531</v>
      </c>
      <c r="C25" s="1040" t="s">
        <v>558</v>
      </c>
      <c r="D25" s="1040" t="str">
        <f t="shared" si="0"/>
        <v>061901</v>
      </c>
      <c r="E25" s="1040" t="s">
        <v>559</v>
      </c>
      <c r="F25" s="1040" t="str">
        <f t="shared" si="1"/>
        <v>002</v>
      </c>
      <c r="G25" s="1040" t="s">
        <v>588</v>
      </c>
      <c r="H25" s="1041" t="str">
        <f>"13Q"</f>
        <v>13Q</v>
      </c>
      <c r="I25" s="1040" t="s">
        <v>658</v>
      </c>
      <c r="J25" s="1040">
        <v>409601</v>
      </c>
      <c r="K25" s="1045">
        <v>41408</v>
      </c>
      <c r="L25" s="1040" t="s">
        <v>561</v>
      </c>
      <c r="M25" s="1041">
        <v>2009</v>
      </c>
      <c r="N25" s="1041" t="s">
        <v>576</v>
      </c>
      <c r="O25" s="1041" t="s">
        <v>576</v>
      </c>
      <c r="P25" s="1041" t="s">
        <v>576</v>
      </c>
      <c r="Q25" s="1041" t="s">
        <v>576</v>
      </c>
      <c r="R25" s="1040">
        <v>10</v>
      </c>
      <c r="S25" s="1041">
        <v>1</v>
      </c>
      <c r="T25" s="1042">
        <v>64</v>
      </c>
      <c r="U25" s="1042">
        <v>10484</v>
      </c>
      <c r="V25" s="1042">
        <v>1013</v>
      </c>
      <c r="W25" s="1042"/>
      <c r="X25" s="1042">
        <v>164</v>
      </c>
      <c r="Y25" s="1042">
        <v>16</v>
      </c>
      <c r="Z25" s="1040" t="s">
        <v>604</v>
      </c>
      <c r="AA25" s="1040" t="s">
        <v>632</v>
      </c>
      <c r="AB25" s="1040" t="s">
        <v>606</v>
      </c>
      <c r="AC25" s="1040" t="s">
        <v>606</v>
      </c>
      <c r="AD25" s="1040" t="s">
        <v>581</v>
      </c>
      <c r="AE25" s="1054"/>
      <c r="AF25" s="1040" t="s">
        <v>582</v>
      </c>
      <c r="AG25" s="1040">
        <v>0</v>
      </c>
      <c r="AH25" s="1040" t="s">
        <v>593</v>
      </c>
      <c r="AI25" s="1040" t="s">
        <v>594</v>
      </c>
      <c r="AJ25" s="1040" t="s">
        <v>571</v>
      </c>
      <c r="AK25" s="1041">
        <v>76201</v>
      </c>
      <c r="AL25" s="1040" t="s">
        <v>659</v>
      </c>
      <c r="AM25" s="1040" t="s">
        <v>660</v>
      </c>
      <c r="AN25" s="1040"/>
      <c r="AO25" s="1040">
        <v>10000</v>
      </c>
      <c r="AP25" s="1040">
        <v>409601</v>
      </c>
    </row>
    <row r="26" spans="1:42" x14ac:dyDescent="0.3">
      <c r="A26" s="1040">
        <v>98</v>
      </c>
      <c r="B26" s="1040">
        <v>75531</v>
      </c>
      <c r="C26" s="1040" t="s">
        <v>558</v>
      </c>
      <c r="D26" s="1040" t="str">
        <f t="shared" si="0"/>
        <v>061901</v>
      </c>
      <c r="E26" s="1040" t="s">
        <v>559</v>
      </c>
      <c r="F26" s="1040" t="str">
        <f t="shared" si="1"/>
        <v>002</v>
      </c>
      <c r="G26" s="1040" t="s">
        <v>588</v>
      </c>
      <c r="H26" s="1041" t="str">
        <f>"13R"</f>
        <v>13R</v>
      </c>
      <c r="I26" s="1040" t="s">
        <v>661</v>
      </c>
      <c r="J26" s="1040">
        <v>409602</v>
      </c>
      <c r="K26" s="1045">
        <v>41408</v>
      </c>
      <c r="L26" s="1040" t="s">
        <v>561</v>
      </c>
      <c r="M26" s="1041">
        <v>2009</v>
      </c>
      <c r="N26" s="1041" t="s">
        <v>576</v>
      </c>
      <c r="O26" s="1041" t="s">
        <v>576</v>
      </c>
      <c r="P26" s="1041" t="s">
        <v>576</v>
      </c>
      <c r="Q26" s="1041" t="s">
        <v>576</v>
      </c>
      <c r="R26" s="1040">
        <v>12</v>
      </c>
      <c r="S26" s="1041">
        <v>1</v>
      </c>
      <c r="T26" s="1042">
        <v>400</v>
      </c>
      <c r="U26" s="1042">
        <v>16774</v>
      </c>
      <c r="V26" s="1042">
        <v>10220</v>
      </c>
      <c r="W26" s="1042"/>
      <c r="X26" s="1042">
        <v>42</v>
      </c>
      <c r="Y26" s="1042">
        <v>26</v>
      </c>
      <c r="Z26" s="1040" t="s">
        <v>611</v>
      </c>
      <c r="AA26" s="1040" t="s">
        <v>612</v>
      </c>
      <c r="AB26" s="1040" t="s">
        <v>606</v>
      </c>
      <c r="AC26" s="1040" t="s">
        <v>606</v>
      </c>
      <c r="AD26" s="1040" t="s">
        <v>581</v>
      </c>
      <c r="AE26" s="1054"/>
      <c r="AF26" s="1040" t="s">
        <v>582</v>
      </c>
      <c r="AG26" s="1040">
        <v>0</v>
      </c>
      <c r="AH26" s="1040" t="s">
        <v>593</v>
      </c>
      <c r="AI26" s="1040" t="s">
        <v>594</v>
      </c>
      <c r="AJ26" s="1040" t="s">
        <v>571</v>
      </c>
      <c r="AK26" s="1041">
        <v>76201</v>
      </c>
      <c r="AL26" s="1040" t="s">
        <v>662</v>
      </c>
      <c r="AM26" s="1040" t="s">
        <v>663</v>
      </c>
      <c r="AN26" s="1040" t="s">
        <v>664</v>
      </c>
      <c r="AO26" s="1040">
        <v>16000</v>
      </c>
      <c r="AP26" s="1040">
        <v>409602</v>
      </c>
    </row>
    <row r="27" spans="1:42" x14ac:dyDescent="0.3">
      <c r="A27" s="1040">
        <v>98</v>
      </c>
      <c r="B27" s="1040">
        <v>75531</v>
      </c>
      <c r="C27" s="1040" t="s">
        <v>558</v>
      </c>
      <c r="D27" s="1040" t="str">
        <f t="shared" si="0"/>
        <v>061901</v>
      </c>
      <c r="E27" s="1040" t="s">
        <v>559</v>
      </c>
      <c r="F27" s="1040" t="str">
        <f t="shared" si="1"/>
        <v>002</v>
      </c>
      <c r="G27" s="1040" t="s">
        <v>588</v>
      </c>
      <c r="H27" s="1041" t="str">
        <f>"13S"</f>
        <v>13S</v>
      </c>
      <c r="I27" s="1040" t="s">
        <v>665</v>
      </c>
      <c r="J27" s="1040">
        <v>409603</v>
      </c>
      <c r="K27" s="1045">
        <v>41408</v>
      </c>
      <c r="L27" s="1040" t="s">
        <v>561</v>
      </c>
      <c r="M27" s="1041">
        <v>2009</v>
      </c>
      <c r="N27" s="1041" t="s">
        <v>576</v>
      </c>
      <c r="O27" s="1041" t="s">
        <v>576</v>
      </c>
      <c r="P27" s="1041" t="s">
        <v>576</v>
      </c>
      <c r="Q27" s="1041" t="s">
        <v>576</v>
      </c>
      <c r="R27" s="1040">
        <v>8</v>
      </c>
      <c r="S27" s="1041">
        <v>1</v>
      </c>
      <c r="T27" s="1042">
        <v>96</v>
      </c>
      <c r="U27" s="1042">
        <v>103793</v>
      </c>
      <c r="V27" s="1042">
        <v>1013</v>
      </c>
      <c r="W27" s="1042"/>
      <c r="X27" s="1042">
        <v>1081</v>
      </c>
      <c r="Y27" s="1042">
        <v>11</v>
      </c>
      <c r="Z27" s="1040" t="s">
        <v>577</v>
      </c>
      <c r="AA27" s="1040" t="s">
        <v>578</v>
      </c>
      <c r="AB27" s="1040" t="s">
        <v>606</v>
      </c>
      <c r="AC27" s="1040" t="s">
        <v>606</v>
      </c>
      <c r="AD27" s="1040" t="s">
        <v>581</v>
      </c>
      <c r="AE27" s="1054"/>
      <c r="AF27" s="1040" t="s">
        <v>592</v>
      </c>
      <c r="AG27" s="1040">
        <v>0</v>
      </c>
      <c r="AH27" s="1040" t="s">
        <v>593</v>
      </c>
      <c r="AI27" s="1040" t="s">
        <v>594</v>
      </c>
      <c r="AJ27" s="1040" t="s">
        <v>571</v>
      </c>
      <c r="AK27" s="1041">
        <v>76201</v>
      </c>
      <c r="AL27" s="1040" t="s">
        <v>662</v>
      </c>
      <c r="AM27" s="1040" t="s">
        <v>660</v>
      </c>
      <c r="AN27" s="1040" t="s">
        <v>641</v>
      </c>
      <c r="AO27" s="1040">
        <v>99000</v>
      </c>
      <c r="AP27" s="1040">
        <v>409603</v>
      </c>
    </row>
    <row r="28" spans="1:42" x14ac:dyDescent="0.3">
      <c r="A28" s="1040">
        <v>98</v>
      </c>
      <c r="B28" s="1040">
        <v>75531</v>
      </c>
      <c r="C28" s="1040" t="s">
        <v>558</v>
      </c>
      <c r="D28" s="1040" t="str">
        <f t="shared" si="0"/>
        <v>061901</v>
      </c>
      <c r="E28" s="1040" t="s">
        <v>559</v>
      </c>
      <c r="F28" s="1040" t="str">
        <f t="shared" si="1"/>
        <v>002</v>
      </c>
      <c r="G28" s="1040" t="s">
        <v>588</v>
      </c>
      <c r="H28" s="1041" t="str">
        <f>"13T"</f>
        <v>13T</v>
      </c>
      <c r="I28" s="1040" t="s">
        <v>666</v>
      </c>
      <c r="J28" s="1040">
        <v>409604</v>
      </c>
      <c r="K28" s="1045">
        <v>41408</v>
      </c>
      <c r="L28" s="1040" t="s">
        <v>561</v>
      </c>
      <c r="M28" s="1041">
        <v>2009</v>
      </c>
      <c r="N28" s="1041" t="s">
        <v>576</v>
      </c>
      <c r="O28" s="1041" t="s">
        <v>576</v>
      </c>
      <c r="P28" s="1041" t="s">
        <v>576</v>
      </c>
      <c r="Q28" s="1041" t="s">
        <v>576</v>
      </c>
      <c r="R28" s="1040">
        <v>8</v>
      </c>
      <c r="S28" s="1041">
        <v>1</v>
      </c>
      <c r="T28" s="1042">
        <v>400</v>
      </c>
      <c r="U28" s="1042">
        <v>20969</v>
      </c>
      <c r="V28" s="1042">
        <v>1013</v>
      </c>
      <c r="W28" s="1042"/>
      <c r="X28" s="1042">
        <v>52</v>
      </c>
      <c r="Y28" s="1042">
        <v>3</v>
      </c>
      <c r="Z28" s="1040" t="s">
        <v>563</v>
      </c>
      <c r="AA28" s="1040" t="s">
        <v>632</v>
      </c>
      <c r="AB28" s="1040" t="s">
        <v>606</v>
      </c>
      <c r="AC28" s="1040" t="s">
        <v>606</v>
      </c>
      <c r="AD28" s="1040" t="s">
        <v>581</v>
      </c>
      <c r="AE28" s="1054"/>
      <c r="AF28" s="1040" t="s">
        <v>582</v>
      </c>
      <c r="AG28" s="1040">
        <v>0</v>
      </c>
      <c r="AH28" s="1040" t="s">
        <v>593</v>
      </c>
      <c r="AI28" s="1040" t="s">
        <v>594</v>
      </c>
      <c r="AJ28" s="1040" t="s">
        <v>571</v>
      </c>
      <c r="AK28" s="1041">
        <v>76201</v>
      </c>
      <c r="AL28" s="1040" t="s">
        <v>656</v>
      </c>
      <c r="AM28" s="1040" t="s">
        <v>667</v>
      </c>
      <c r="AN28" s="1040"/>
      <c r="AO28" s="1040">
        <v>20000</v>
      </c>
      <c r="AP28" s="1040">
        <v>409604</v>
      </c>
    </row>
    <row r="29" spans="1:42" x14ac:dyDescent="0.3">
      <c r="A29" s="1040">
        <v>98</v>
      </c>
      <c r="B29" s="1040">
        <v>75531</v>
      </c>
      <c r="C29" s="1040" t="s">
        <v>558</v>
      </c>
      <c r="D29" s="1040" t="str">
        <f t="shared" si="0"/>
        <v>061901</v>
      </c>
      <c r="E29" s="1040" t="s">
        <v>559</v>
      </c>
      <c r="F29" s="1040" t="str">
        <f t="shared" si="1"/>
        <v>002</v>
      </c>
      <c r="G29" s="1040" t="s">
        <v>588</v>
      </c>
      <c r="H29" s="1041" t="str">
        <f>"13U"</f>
        <v>13U</v>
      </c>
      <c r="I29" s="1040" t="s">
        <v>668</v>
      </c>
      <c r="J29" s="1040">
        <v>409605</v>
      </c>
      <c r="K29" s="1045">
        <v>41408</v>
      </c>
      <c r="L29" s="1040" t="s">
        <v>561</v>
      </c>
      <c r="M29" s="1041">
        <v>2009</v>
      </c>
      <c r="N29" s="1041" t="s">
        <v>576</v>
      </c>
      <c r="O29" s="1041" t="s">
        <v>576</v>
      </c>
      <c r="P29" s="1041" t="s">
        <v>576</v>
      </c>
      <c r="Q29" s="1041" t="s">
        <v>576</v>
      </c>
      <c r="R29" s="1040">
        <v>8</v>
      </c>
      <c r="S29" s="1041">
        <v>1</v>
      </c>
      <c r="T29" s="1042">
        <v>400</v>
      </c>
      <c r="U29" s="1042">
        <v>20969</v>
      </c>
      <c r="V29" s="1042">
        <v>1013</v>
      </c>
      <c r="W29" s="1042"/>
      <c r="X29" s="1042">
        <v>52</v>
      </c>
      <c r="Y29" s="1042">
        <v>3</v>
      </c>
      <c r="Z29" s="1040" t="s">
        <v>563</v>
      </c>
      <c r="AA29" s="1040" t="s">
        <v>632</v>
      </c>
      <c r="AB29" s="1040" t="s">
        <v>606</v>
      </c>
      <c r="AC29" s="1040" t="s">
        <v>606</v>
      </c>
      <c r="AD29" s="1040" t="s">
        <v>581</v>
      </c>
      <c r="AE29" s="1054"/>
      <c r="AF29" s="1040" t="s">
        <v>582</v>
      </c>
      <c r="AG29" s="1040">
        <v>0</v>
      </c>
      <c r="AH29" s="1040" t="s">
        <v>593</v>
      </c>
      <c r="AI29" s="1040" t="s">
        <v>594</v>
      </c>
      <c r="AJ29" s="1040" t="s">
        <v>571</v>
      </c>
      <c r="AK29" s="1041">
        <v>76201</v>
      </c>
      <c r="AL29" s="1040" t="s">
        <v>669</v>
      </c>
      <c r="AM29" s="1040" t="s">
        <v>670</v>
      </c>
      <c r="AN29" s="1040"/>
      <c r="AO29" s="1040">
        <v>20000</v>
      </c>
      <c r="AP29" s="1040">
        <v>409605</v>
      </c>
    </row>
    <row r="30" spans="1:42" x14ac:dyDescent="0.3">
      <c r="A30" s="1040">
        <v>98</v>
      </c>
      <c r="B30" s="1040">
        <v>75531</v>
      </c>
      <c r="C30" s="1040" t="s">
        <v>558</v>
      </c>
      <c r="D30" s="1040" t="str">
        <f t="shared" si="0"/>
        <v>061901</v>
      </c>
      <c r="E30" s="1040" t="s">
        <v>559</v>
      </c>
      <c r="F30" s="1040" t="str">
        <f t="shared" si="1"/>
        <v>002</v>
      </c>
      <c r="G30" s="1040" t="s">
        <v>588</v>
      </c>
      <c r="H30" s="1041" t="str">
        <f>"13V"</f>
        <v>13V</v>
      </c>
      <c r="I30" s="1040" t="s">
        <v>671</v>
      </c>
      <c r="J30" s="1040">
        <v>409606</v>
      </c>
      <c r="K30" s="1045">
        <v>41408</v>
      </c>
      <c r="L30" s="1040" t="s">
        <v>561</v>
      </c>
      <c r="M30" s="1041">
        <v>2009</v>
      </c>
      <c r="N30" s="1041" t="s">
        <v>576</v>
      </c>
      <c r="O30" s="1041" t="s">
        <v>576</v>
      </c>
      <c r="P30" s="1041" t="s">
        <v>576</v>
      </c>
      <c r="Q30" s="1041" t="s">
        <v>576</v>
      </c>
      <c r="R30" s="1040">
        <v>9</v>
      </c>
      <c r="S30" s="1041">
        <v>1</v>
      </c>
      <c r="T30" s="1042">
        <v>100</v>
      </c>
      <c r="U30" s="1042">
        <v>12581</v>
      </c>
      <c r="V30" s="1042">
        <v>1013</v>
      </c>
      <c r="W30" s="1042"/>
      <c r="X30" s="1042">
        <v>126</v>
      </c>
      <c r="Y30" s="1042">
        <v>10</v>
      </c>
      <c r="Z30" s="1040" t="s">
        <v>604</v>
      </c>
      <c r="AA30" s="1040" t="s">
        <v>632</v>
      </c>
      <c r="AB30" s="1040" t="s">
        <v>606</v>
      </c>
      <c r="AC30" s="1040" t="s">
        <v>606</v>
      </c>
      <c r="AD30" s="1040" t="s">
        <v>616</v>
      </c>
      <c r="AE30" s="1041"/>
      <c r="AF30" s="1040" t="s">
        <v>592</v>
      </c>
      <c r="AG30" s="1040">
        <v>0</v>
      </c>
      <c r="AH30" s="1040" t="s">
        <v>593</v>
      </c>
      <c r="AI30" s="1040" t="s">
        <v>594</v>
      </c>
      <c r="AJ30" s="1040" t="s">
        <v>571</v>
      </c>
      <c r="AK30" s="1041">
        <v>76201</v>
      </c>
      <c r="AL30" s="1040" t="s">
        <v>656</v>
      </c>
      <c r="AM30" s="1040" t="s">
        <v>672</v>
      </c>
      <c r="AN30" s="1040"/>
      <c r="AO30" s="1040">
        <v>12000</v>
      </c>
      <c r="AP30" s="1040">
        <v>409606</v>
      </c>
    </row>
    <row r="31" spans="1:42" x14ac:dyDescent="0.3">
      <c r="A31" s="1040">
        <v>98</v>
      </c>
      <c r="B31" s="1040">
        <v>75531</v>
      </c>
      <c r="C31" s="1040" t="s">
        <v>558</v>
      </c>
      <c r="D31" s="1040" t="str">
        <f t="shared" si="0"/>
        <v>061901</v>
      </c>
      <c r="E31" s="1040" t="s">
        <v>559</v>
      </c>
      <c r="F31" s="1040" t="str">
        <f t="shared" si="1"/>
        <v>002</v>
      </c>
      <c r="G31" s="1040" t="s">
        <v>588</v>
      </c>
      <c r="H31" s="1041" t="str">
        <f>"13W"</f>
        <v>13W</v>
      </c>
      <c r="I31" s="1040" t="s">
        <v>673</v>
      </c>
      <c r="J31" s="1040">
        <v>409607</v>
      </c>
      <c r="K31" s="1045">
        <v>41408</v>
      </c>
      <c r="L31" s="1040" t="s">
        <v>561</v>
      </c>
      <c r="M31" s="1041">
        <v>2000</v>
      </c>
      <c r="N31" s="1041" t="s">
        <v>576</v>
      </c>
      <c r="O31" s="1041" t="s">
        <v>576</v>
      </c>
      <c r="P31" s="1041" t="s">
        <v>576</v>
      </c>
      <c r="Q31" s="1041" t="s">
        <v>576</v>
      </c>
      <c r="R31" s="1040">
        <v>9</v>
      </c>
      <c r="S31" s="1041">
        <v>1</v>
      </c>
      <c r="T31" s="1042">
        <v>1536</v>
      </c>
      <c r="U31" s="1042">
        <v>146778</v>
      </c>
      <c r="V31" s="1042">
        <v>22484</v>
      </c>
      <c r="W31" s="1042"/>
      <c r="X31" s="1042">
        <v>96</v>
      </c>
      <c r="Y31" s="1042">
        <v>15</v>
      </c>
      <c r="Z31" s="1040" t="s">
        <v>577</v>
      </c>
      <c r="AA31" s="1040" t="s">
        <v>578</v>
      </c>
      <c r="AB31" s="1040" t="s">
        <v>579</v>
      </c>
      <c r="AC31" s="1040" t="s">
        <v>580</v>
      </c>
      <c r="AD31" s="1040" t="s">
        <v>581</v>
      </c>
      <c r="AE31" s="1054"/>
      <c r="AF31" s="1040" t="s">
        <v>582</v>
      </c>
      <c r="AG31" s="1040">
        <v>0</v>
      </c>
      <c r="AH31" s="1040" t="s">
        <v>593</v>
      </c>
      <c r="AI31" s="1040" t="s">
        <v>594</v>
      </c>
      <c r="AJ31" s="1040" t="s">
        <v>571</v>
      </c>
      <c r="AK31" s="1041">
        <v>76201</v>
      </c>
      <c r="AL31" s="1040" t="s">
        <v>674</v>
      </c>
      <c r="AM31" s="1040" t="s">
        <v>675</v>
      </c>
      <c r="AN31" s="1040" t="s">
        <v>585</v>
      </c>
      <c r="AO31" s="1040">
        <v>140000</v>
      </c>
      <c r="AP31" s="1040">
        <v>409607</v>
      </c>
    </row>
    <row r="32" spans="1:42" x14ac:dyDescent="0.3">
      <c r="A32" s="1040">
        <v>98</v>
      </c>
      <c r="B32" s="1040">
        <v>75531</v>
      </c>
      <c r="C32" s="1040" t="s">
        <v>558</v>
      </c>
      <c r="D32" s="1040" t="str">
        <f t="shared" si="0"/>
        <v>061901</v>
      </c>
      <c r="E32" s="1040" t="s">
        <v>559</v>
      </c>
      <c r="F32" s="1040" t="str">
        <f t="shared" si="1"/>
        <v>002</v>
      </c>
      <c r="G32" s="1040" t="s">
        <v>588</v>
      </c>
      <c r="H32" s="1041" t="str">
        <f>"13X"</f>
        <v>13X</v>
      </c>
      <c r="I32" s="1040" t="s">
        <v>676</v>
      </c>
      <c r="J32" s="1040">
        <v>409608</v>
      </c>
      <c r="K32" s="1045">
        <v>41408</v>
      </c>
      <c r="L32" s="1040" t="s">
        <v>561</v>
      </c>
      <c r="M32" s="1041">
        <v>2000</v>
      </c>
      <c r="N32" s="1041" t="s">
        <v>576</v>
      </c>
      <c r="O32" s="1041" t="s">
        <v>576</v>
      </c>
      <c r="P32" s="1041" t="s">
        <v>576</v>
      </c>
      <c r="Q32" s="1041" t="s">
        <v>576</v>
      </c>
      <c r="R32" s="1040">
        <v>9</v>
      </c>
      <c r="S32" s="1041">
        <v>1</v>
      </c>
      <c r="T32" s="1042">
        <v>768</v>
      </c>
      <c r="U32" s="1042">
        <v>73388</v>
      </c>
      <c r="V32" s="1042">
        <v>11242</v>
      </c>
      <c r="W32" s="1042"/>
      <c r="X32" s="1042">
        <v>96</v>
      </c>
      <c r="Y32" s="1042">
        <v>15</v>
      </c>
      <c r="Z32" s="1040" t="s">
        <v>577</v>
      </c>
      <c r="AA32" s="1040" t="s">
        <v>578</v>
      </c>
      <c r="AB32" s="1040" t="s">
        <v>579</v>
      </c>
      <c r="AC32" s="1040" t="s">
        <v>580</v>
      </c>
      <c r="AD32" s="1040" t="s">
        <v>581</v>
      </c>
      <c r="AE32" s="1054"/>
      <c r="AF32" s="1040" t="s">
        <v>582</v>
      </c>
      <c r="AG32" s="1040">
        <v>0</v>
      </c>
      <c r="AH32" s="1040" t="s">
        <v>593</v>
      </c>
      <c r="AI32" s="1040" t="s">
        <v>594</v>
      </c>
      <c r="AJ32" s="1040" t="s">
        <v>571</v>
      </c>
      <c r="AK32" s="1041">
        <v>76201</v>
      </c>
      <c r="AL32" s="1040" t="s">
        <v>677</v>
      </c>
      <c r="AM32" s="1040" t="s">
        <v>675</v>
      </c>
      <c r="AN32" s="1040" t="s">
        <v>585</v>
      </c>
      <c r="AO32" s="1040">
        <v>70000</v>
      </c>
      <c r="AP32" s="1040">
        <v>409608</v>
      </c>
    </row>
    <row r="33" spans="1:42" x14ac:dyDescent="0.3">
      <c r="A33" s="1040">
        <v>98</v>
      </c>
      <c r="B33" s="1040">
        <v>75531</v>
      </c>
      <c r="C33" s="1040" t="s">
        <v>558</v>
      </c>
      <c r="D33" s="1040" t="str">
        <f t="shared" si="0"/>
        <v>061901</v>
      </c>
      <c r="E33" s="1040" t="s">
        <v>559</v>
      </c>
      <c r="F33" s="1040" t="str">
        <f t="shared" si="1"/>
        <v>002</v>
      </c>
      <c r="G33" s="1040" t="s">
        <v>588</v>
      </c>
      <c r="H33" s="1041" t="str">
        <f>"13Y"</f>
        <v>13Y</v>
      </c>
      <c r="I33" s="1040" t="s">
        <v>678</v>
      </c>
      <c r="J33" s="1040">
        <v>409609</v>
      </c>
      <c r="K33" s="1045">
        <v>41408</v>
      </c>
      <c r="L33" s="1040" t="s">
        <v>561</v>
      </c>
      <c r="M33" s="1041">
        <v>2000</v>
      </c>
      <c r="N33" s="1041" t="s">
        <v>576</v>
      </c>
      <c r="O33" s="1041" t="s">
        <v>576</v>
      </c>
      <c r="P33" s="1041" t="s">
        <v>576</v>
      </c>
      <c r="Q33" s="1041" t="s">
        <v>576</v>
      </c>
      <c r="R33" s="1040">
        <v>9</v>
      </c>
      <c r="S33" s="1041">
        <v>1</v>
      </c>
      <c r="T33" s="1042">
        <v>1536</v>
      </c>
      <c r="U33" s="1042">
        <v>146778</v>
      </c>
      <c r="V33" s="1042">
        <v>22484</v>
      </c>
      <c r="W33" s="1042"/>
      <c r="X33" s="1042">
        <v>96</v>
      </c>
      <c r="Y33" s="1042">
        <v>15</v>
      </c>
      <c r="Z33" s="1040" t="s">
        <v>577</v>
      </c>
      <c r="AA33" s="1040" t="s">
        <v>578</v>
      </c>
      <c r="AB33" s="1040" t="s">
        <v>579</v>
      </c>
      <c r="AC33" s="1040" t="s">
        <v>580</v>
      </c>
      <c r="AD33" s="1040" t="s">
        <v>581</v>
      </c>
      <c r="AE33" s="1054"/>
      <c r="AF33" s="1040" t="s">
        <v>582</v>
      </c>
      <c r="AG33" s="1040">
        <v>0</v>
      </c>
      <c r="AH33" s="1040" t="s">
        <v>593</v>
      </c>
      <c r="AI33" s="1040" t="s">
        <v>594</v>
      </c>
      <c r="AJ33" s="1040" t="s">
        <v>571</v>
      </c>
      <c r="AK33" s="1041">
        <v>76201</v>
      </c>
      <c r="AL33" s="1040" t="s">
        <v>679</v>
      </c>
      <c r="AM33" s="1040" t="s">
        <v>680</v>
      </c>
      <c r="AN33" s="1040" t="s">
        <v>585</v>
      </c>
      <c r="AO33" s="1040">
        <v>140000</v>
      </c>
      <c r="AP33" s="1040">
        <v>409609</v>
      </c>
    </row>
    <row r="34" spans="1:42" x14ac:dyDescent="0.3">
      <c r="A34" s="1040">
        <v>98</v>
      </c>
      <c r="B34" s="1040">
        <v>75531</v>
      </c>
      <c r="C34" s="1040" t="s">
        <v>558</v>
      </c>
      <c r="D34" s="1040" t="str">
        <f t="shared" si="0"/>
        <v>061901</v>
      </c>
      <c r="E34" s="1040" t="s">
        <v>559</v>
      </c>
      <c r="F34" s="1040" t="str">
        <f t="shared" si="1"/>
        <v>002</v>
      </c>
      <c r="G34" s="1040" t="s">
        <v>588</v>
      </c>
      <c r="H34" s="1041" t="str">
        <f>"13Z"</f>
        <v>13Z</v>
      </c>
      <c r="I34" s="1040" t="s">
        <v>681</v>
      </c>
      <c r="J34" s="1040">
        <v>409610</v>
      </c>
      <c r="K34" s="1045">
        <v>41408</v>
      </c>
      <c r="L34" s="1040" t="s">
        <v>561</v>
      </c>
      <c r="M34" s="1041">
        <v>2000</v>
      </c>
      <c r="N34" s="1041" t="s">
        <v>576</v>
      </c>
      <c r="O34" s="1041" t="s">
        <v>576</v>
      </c>
      <c r="P34" s="1041" t="s">
        <v>576</v>
      </c>
      <c r="Q34" s="1041" t="s">
        <v>576</v>
      </c>
      <c r="R34" s="1040">
        <v>9</v>
      </c>
      <c r="S34" s="1041">
        <v>1</v>
      </c>
      <c r="T34" s="1042">
        <v>768</v>
      </c>
      <c r="U34" s="1042">
        <v>73388</v>
      </c>
      <c r="V34" s="1042">
        <v>11242</v>
      </c>
      <c r="W34" s="1042"/>
      <c r="X34" s="1042">
        <v>96</v>
      </c>
      <c r="Y34" s="1042">
        <v>15</v>
      </c>
      <c r="Z34" s="1040" t="s">
        <v>577</v>
      </c>
      <c r="AA34" s="1040" t="s">
        <v>578</v>
      </c>
      <c r="AB34" s="1040" t="s">
        <v>579</v>
      </c>
      <c r="AC34" s="1040" t="s">
        <v>580</v>
      </c>
      <c r="AD34" s="1040" t="s">
        <v>581</v>
      </c>
      <c r="AE34" s="1054"/>
      <c r="AF34" s="1040" t="s">
        <v>582</v>
      </c>
      <c r="AG34" s="1040">
        <v>0</v>
      </c>
      <c r="AH34" s="1040" t="s">
        <v>593</v>
      </c>
      <c r="AI34" s="1040" t="s">
        <v>594</v>
      </c>
      <c r="AJ34" s="1040" t="s">
        <v>571</v>
      </c>
      <c r="AK34" s="1041">
        <v>76201</v>
      </c>
      <c r="AL34" s="1040" t="s">
        <v>682</v>
      </c>
      <c r="AM34" s="1040" t="s">
        <v>675</v>
      </c>
      <c r="AN34" s="1040" t="s">
        <v>585</v>
      </c>
      <c r="AO34" s="1040">
        <v>70000</v>
      </c>
      <c r="AP34" s="1040">
        <v>409610</v>
      </c>
    </row>
    <row r="35" spans="1:42" x14ac:dyDescent="0.3">
      <c r="A35" s="1040">
        <v>98</v>
      </c>
      <c r="B35" s="1040">
        <v>75531</v>
      </c>
      <c r="C35" s="1040" t="s">
        <v>558</v>
      </c>
      <c r="D35" s="1040" t="str">
        <f t="shared" si="0"/>
        <v>061901</v>
      </c>
      <c r="E35" s="1040" t="s">
        <v>559</v>
      </c>
      <c r="F35" s="1040" t="str">
        <f t="shared" si="1"/>
        <v>002</v>
      </c>
      <c r="G35" s="1040" t="s">
        <v>588</v>
      </c>
      <c r="H35" s="1041" t="str">
        <f>"999"</f>
        <v>999</v>
      </c>
      <c r="I35" s="1040" t="s">
        <v>586</v>
      </c>
      <c r="J35" s="1040">
        <v>409774</v>
      </c>
      <c r="K35" s="1040"/>
      <c r="L35" s="1040" t="s">
        <v>561</v>
      </c>
      <c r="M35" s="1041"/>
      <c r="N35" s="1041" t="s">
        <v>576</v>
      </c>
      <c r="O35" s="1041" t="s">
        <v>576</v>
      </c>
      <c r="P35" s="1041" t="s">
        <v>576</v>
      </c>
      <c r="Q35" s="1041" t="s">
        <v>576</v>
      </c>
      <c r="R35" s="1040">
        <v>0</v>
      </c>
      <c r="S35" s="1041">
        <v>0</v>
      </c>
      <c r="T35" s="1042"/>
      <c r="U35" s="1042"/>
      <c r="V35" s="1042"/>
      <c r="W35" s="1042">
        <v>2426026</v>
      </c>
      <c r="X35" s="1042"/>
      <c r="Y35" s="1042"/>
      <c r="Z35" s="1040"/>
      <c r="AA35" s="1040"/>
      <c r="AB35" s="1040"/>
      <c r="AC35" s="1040"/>
      <c r="AD35" s="1040"/>
      <c r="AE35" s="1041"/>
      <c r="AF35" s="1040"/>
      <c r="AG35" s="1040">
        <v>0</v>
      </c>
      <c r="AH35" s="1040" t="s">
        <v>593</v>
      </c>
      <c r="AI35" s="1040" t="s">
        <v>594</v>
      </c>
      <c r="AJ35" s="1040" t="s">
        <v>571</v>
      </c>
      <c r="AK35" s="1041">
        <v>76201</v>
      </c>
      <c r="AL35" s="1040"/>
      <c r="AM35" s="1040"/>
      <c r="AN35" s="1040"/>
      <c r="AO35" s="1040">
        <v>0</v>
      </c>
      <c r="AP35" s="1040">
        <v>409774</v>
      </c>
    </row>
    <row r="36" spans="1:42" s="1059" customFormat="1" x14ac:dyDescent="0.3">
      <c r="A36" s="1056"/>
      <c r="B36" s="1056"/>
      <c r="C36" s="1056"/>
      <c r="D36" s="1056"/>
      <c r="E36" s="1056"/>
      <c r="F36" s="1056"/>
      <c r="G36" s="1056"/>
      <c r="H36" s="1057"/>
      <c r="I36" s="1056"/>
      <c r="J36" s="1056"/>
      <c r="K36" s="1056"/>
      <c r="L36" s="1056"/>
      <c r="M36" s="1057"/>
      <c r="N36" s="1057"/>
      <c r="O36" s="1057"/>
      <c r="P36" s="1057"/>
      <c r="Q36" s="1057"/>
      <c r="R36" s="1056"/>
      <c r="S36" s="1057"/>
      <c r="T36" s="1058"/>
      <c r="U36" s="1058"/>
      <c r="V36" s="1058"/>
      <c r="W36" s="1058"/>
      <c r="X36" s="1058"/>
      <c r="Y36" s="1058"/>
      <c r="Z36" s="1056"/>
      <c r="AA36" s="1056"/>
      <c r="AB36" s="1056"/>
      <c r="AC36" s="1056"/>
      <c r="AD36" s="1056"/>
      <c r="AE36" s="1057"/>
      <c r="AF36" s="1056"/>
      <c r="AG36" s="1056"/>
      <c r="AH36" s="1056"/>
      <c r="AI36" s="1056"/>
      <c r="AJ36" s="1056"/>
      <c r="AK36" s="1057"/>
      <c r="AL36" s="1056"/>
      <c r="AM36" s="1056"/>
      <c r="AN36" s="1056"/>
      <c r="AO36" s="1056"/>
      <c r="AP36" s="1056"/>
    </row>
    <row r="37" spans="1:42" s="1059" customFormat="1" x14ac:dyDescent="0.3">
      <c r="A37" s="1060"/>
      <c r="B37" s="1060"/>
      <c r="C37" s="1060"/>
      <c r="D37" s="1060"/>
      <c r="E37" s="1060"/>
      <c r="F37" s="1060"/>
      <c r="G37" s="1060"/>
      <c r="H37" s="1061"/>
      <c r="I37" s="1062" t="s">
        <v>683</v>
      </c>
      <c r="J37" s="1060"/>
      <c r="K37" s="1060"/>
      <c r="L37" s="1060"/>
      <c r="M37" s="1061"/>
      <c r="N37" s="1061"/>
      <c r="O37" s="1061"/>
      <c r="P37" s="1061"/>
      <c r="Q37" s="1061"/>
      <c r="R37" s="1060"/>
      <c r="S37" s="1061"/>
      <c r="T37" s="1063"/>
      <c r="U37" s="1063"/>
      <c r="V37" s="1063"/>
      <c r="W37" s="1063"/>
      <c r="X37" s="1063"/>
      <c r="Y37" s="1063"/>
      <c r="Z37" s="1060"/>
      <c r="AA37" s="1060"/>
      <c r="AB37" s="1060"/>
      <c r="AC37" s="1060"/>
      <c r="AD37" s="1060"/>
      <c r="AE37" s="1061"/>
      <c r="AF37" s="1060"/>
      <c r="AG37" s="1060"/>
      <c r="AH37" s="1060"/>
      <c r="AI37" s="1060"/>
      <c r="AJ37" s="1060"/>
      <c r="AK37" s="1061"/>
      <c r="AL37" s="1060"/>
      <c r="AM37" s="1060"/>
      <c r="AN37" s="1060"/>
      <c r="AO37" s="1060"/>
      <c r="AP37" s="1060"/>
    </row>
    <row r="38" spans="1:42" x14ac:dyDescent="0.3">
      <c r="A38" s="1040">
        <v>98</v>
      </c>
      <c r="B38" s="1040">
        <v>75531</v>
      </c>
      <c r="C38" s="1040" t="s">
        <v>558</v>
      </c>
      <c r="D38" s="1040" t="str">
        <f t="shared" si="0"/>
        <v>061901</v>
      </c>
      <c r="E38" s="1040" t="s">
        <v>559</v>
      </c>
      <c r="F38" s="1040" t="str">
        <f>"003"</f>
        <v>003</v>
      </c>
      <c r="H38" s="1041" t="str">
        <f>"37A"</f>
        <v>37A</v>
      </c>
      <c r="I38" s="1040" t="s">
        <v>560</v>
      </c>
      <c r="J38" s="1040">
        <v>409534</v>
      </c>
      <c r="K38" s="1045">
        <v>41403</v>
      </c>
      <c r="L38" s="1040" t="s">
        <v>561</v>
      </c>
      <c r="M38" s="1041">
        <v>2005</v>
      </c>
      <c r="N38" s="1041" t="s">
        <v>562</v>
      </c>
      <c r="O38" s="1041" t="s">
        <v>562</v>
      </c>
      <c r="P38" s="1041" t="s">
        <v>562</v>
      </c>
      <c r="Q38" s="1041" t="s">
        <v>562</v>
      </c>
      <c r="R38" s="1040">
        <v>14</v>
      </c>
      <c r="S38" s="1041">
        <v>1</v>
      </c>
      <c r="T38" s="1042">
        <v>77283</v>
      </c>
      <c r="U38" s="1042">
        <v>12118597</v>
      </c>
      <c r="V38" s="1042">
        <v>1876428</v>
      </c>
      <c r="W38" s="1042"/>
      <c r="X38" s="1042">
        <v>157</v>
      </c>
      <c r="Y38" s="1042">
        <v>24</v>
      </c>
      <c r="Z38" s="1040" t="s">
        <v>563</v>
      </c>
      <c r="AA38" s="1040" t="s">
        <v>684</v>
      </c>
      <c r="AB38" s="1040" t="s">
        <v>565</v>
      </c>
      <c r="AC38" s="1040" t="s">
        <v>566</v>
      </c>
      <c r="AD38" s="1040" t="s">
        <v>591</v>
      </c>
      <c r="AE38" s="1041"/>
      <c r="AF38" s="1040" t="s">
        <v>592</v>
      </c>
      <c r="AG38" s="1040">
        <v>0</v>
      </c>
      <c r="AH38" s="1040" t="s">
        <v>685</v>
      </c>
      <c r="AI38" s="1040" t="s">
        <v>570</v>
      </c>
      <c r="AJ38" s="1040" t="s">
        <v>571</v>
      </c>
      <c r="AK38" s="1041">
        <v>76227</v>
      </c>
      <c r="AL38" s="1040" t="s">
        <v>686</v>
      </c>
      <c r="AM38" s="1040" t="s">
        <v>687</v>
      </c>
      <c r="AN38" s="1040" t="s">
        <v>688</v>
      </c>
      <c r="AO38" s="1040">
        <v>11559000</v>
      </c>
      <c r="AP38" s="1040">
        <v>409534</v>
      </c>
    </row>
    <row r="39" spans="1:42" x14ac:dyDescent="0.3">
      <c r="A39" s="1040">
        <v>98</v>
      </c>
      <c r="B39" s="1040">
        <v>75531</v>
      </c>
      <c r="C39" s="1040" t="s">
        <v>558</v>
      </c>
      <c r="D39" s="1040" t="str">
        <f t="shared" si="0"/>
        <v>061901</v>
      </c>
      <c r="E39" s="1040" t="s">
        <v>559</v>
      </c>
      <c r="F39" s="1040" t="str">
        <f>"003"</f>
        <v>003</v>
      </c>
      <c r="G39" s="1040" t="s">
        <v>683</v>
      </c>
      <c r="H39" s="1041" t="str">
        <f>"999"</f>
        <v>999</v>
      </c>
      <c r="I39" s="1040" t="s">
        <v>586</v>
      </c>
      <c r="J39" s="1040">
        <v>409791</v>
      </c>
      <c r="K39" s="1040"/>
      <c r="L39" s="1040" t="s">
        <v>561</v>
      </c>
      <c r="M39" s="1041"/>
      <c r="N39" s="1041" t="s">
        <v>576</v>
      </c>
      <c r="O39" s="1041" t="s">
        <v>576</v>
      </c>
      <c r="P39" s="1041" t="s">
        <v>576</v>
      </c>
      <c r="Q39" s="1041" t="s">
        <v>576</v>
      </c>
      <c r="R39" s="1040">
        <v>0</v>
      </c>
      <c r="S39" s="1041">
        <v>0</v>
      </c>
      <c r="T39" s="1042"/>
      <c r="U39" s="1042"/>
      <c r="V39" s="1042"/>
      <c r="W39" s="1042">
        <v>105889</v>
      </c>
      <c r="X39" s="1042"/>
      <c r="Y39" s="1042"/>
      <c r="Z39" s="1040"/>
      <c r="AA39" s="1040"/>
      <c r="AB39" s="1040"/>
      <c r="AC39" s="1040"/>
      <c r="AD39" s="1040"/>
      <c r="AE39" s="1041"/>
      <c r="AF39" s="1040"/>
      <c r="AG39" s="1040">
        <v>0</v>
      </c>
      <c r="AH39" s="1040" t="s">
        <v>685</v>
      </c>
      <c r="AI39" s="1040" t="s">
        <v>570</v>
      </c>
      <c r="AJ39" s="1040" t="s">
        <v>571</v>
      </c>
      <c r="AK39" s="1041">
        <v>76227</v>
      </c>
      <c r="AL39" s="1040"/>
      <c r="AM39" s="1040"/>
      <c r="AN39" s="1040" t="s">
        <v>689</v>
      </c>
      <c r="AO39" s="1040">
        <v>0</v>
      </c>
      <c r="AP39" s="1040">
        <v>409791</v>
      </c>
    </row>
    <row r="40" spans="1:42" s="1059" customFormat="1" x14ac:dyDescent="0.3">
      <c r="A40" s="1056"/>
      <c r="B40" s="1056"/>
      <c r="C40" s="1056"/>
      <c r="D40" s="1056"/>
      <c r="E40" s="1056"/>
      <c r="F40" s="1056"/>
      <c r="G40" s="1056"/>
      <c r="H40" s="1057"/>
      <c r="I40" s="1056"/>
      <c r="J40" s="1056"/>
      <c r="K40" s="1056"/>
      <c r="L40" s="1056"/>
      <c r="M40" s="1057"/>
      <c r="N40" s="1057"/>
      <c r="O40" s="1057"/>
      <c r="P40" s="1057"/>
      <c r="Q40" s="1057"/>
      <c r="R40" s="1056"/>
      <c r="S40" s="1057"/>
      <c r="T40" s="1058"/>
      <c r="U40" s="1058"/>
      <c r="V40" s="1058"/>
      <c r="W40" s="1058"/>
      <c r="X40" s="1058"/>
      <c r="Y40" s="1058"/>
      <c r="Z40" s="1056"/>
      <c r="AA40" s="1056"/>
      <c r="AB40" s="1056"/>
      <c r="AC40" s="1056"/>
      <c r="AD40" s="1056"/>
      <c r="AE40" s="1057"/>
      <c r="AF40" s="1056"/>
      <c r="AG40" s="1056"/>
      <c r="AH40" s="1056"/>
      <c r="AI40" s="1056"/>
      <c r="AJ40" s="1056"/>
      <c r="AK40" s="1057"/>
      <c r="AL40" s="1056"/>
      <c r="AM40" s="1056"/>
      <c r="AN40" s="1056"/>
      <c r="AO40" s="1056"/>
      <c r="AP40" s="1056"/>
    </row>
    <row r="41" spans="1:42" s="1059" customFormat="1" x14ac:dyDescent="0.3">
      <c r="A41" s="1060"/>
      <c r="B41" s="1060"/>
      <c r="C41" s="1060"/>
      <c r="D41" s="1060"/>
      <c r="E41" s="1060"/>
      <c r="F41" s="1060"/>
      <c r="G41" s="1060"/>
      <c r="H41" s="1061"/>
      <c r="I41" s="1062" t="s">
        <v>690</v>
      </c>
      <c r="J41" s="1060"/>
      <c r="K41" s="1060"/>
      <c r="L41" s="1060"/>
      <c r="M41" s="1061"/>
      <c r="N41" s="1061"/>
      <c r="O41" s="1061"/>
      <c r="P41" s="1061"/>
      <c r="Q41" s="1061"/>
      <c r="R41" s="1060"/>
      <c r="S41" s="1061"/>
      <c r="T41" s="1063"/>
      <c r="U41" s="1063"/>
      <c r="V41" s="1063"/>
      <c r="W41" s="1063"/>
      <c r="X41" s="1063"/>
      <c r="Y41" s="1063"/>
      <c r="Z41" s="1060"/>
      <c r="AA41" s="1060"/>
      <c r="AB41" s="1060"/>
      <c r="AC41" s="1060"/>
      <c r="AD41" s="1060"/>
      <c r="AE41" s="1061"/>
      <c r="AF41" s="1060"/>
      <c r="AG41" s="1060"/>
      <c r="AH41" s="1060"/>
      <c r="AI41" s="1060"/>
      <c r="AJ41" s="1060"/>
      <c r="AK41" s="1061"/>
      <c r="AL41" s="1060"/>
      <c r="AM41" s="1060"/>
      <c r="AN41" s="1060"/>
      <c r="AO41" s="1060"/>
      <c r="AP41" s="1060"/>
    </row>
    <row r="42" spans="1:42" x14ac:dyDescent="0.3">
      <c r="A42" s="1040">
        <v>98</v>
      </c>
      <c r="B42" s="1040">
        <v>75531</v>
      </c>
      <c r="C42" s="1040" t="s">
        <v>558</v>
      </c>
      <c r="D42" s="1040" t="str">
        <f t="shared" si="0"/>
        <v>061901</v>
      </c>
      <c r="E42" s="1040" t="s">
        <v>559</v>
      </c>
      <c r="F42" s="1040" t="str">
        <f>"005"</f>
        <v>005</v>
      </c>
      <c r="H42" s="1041" t="str">
        <f>"999"</f>
        <v>999</v>
      </c>
      <c r="I42" s="1040" t="s">
        <v>586</v>
      </c>
      <c r="J42" s="1040">
        <v>409780</v>
      </c>
      <c r="K42" s="1040"/>
      <c r="L42" s="1040" t="s">
        <v>561</v>
      </c>
      <c r="M42" s="1041"/>
      <c r="N42" s="1041" t="s">
        <v>576</v>
      </c>
      <c r="O42" s="1041" t="s">
        <v>576</v>
      </c>
      <c r="P42" s="1041" t="s">
        <v>576</v>
      </c>
      <c r="Q42" s="1041" t="s">
        <v>576</v>
      </c>
      <c r="R42" s="1040">
        <v>0</v>
      </c>
      <c r="S42" s="1041">
        <v>0</v>
      </c>
      <c r="T42" s="1042"/>
      <c r="U42" s="1042"/>
      <c r="V42" s="1042"/>
      <c r="W42" s="1042">
        <v>75486</v>
      </c>
      <c r="X42" s="1042"/>
      <c r="Y42" s="1042"/>
      <c r="Z42" s="1040"/>
      <c r="AA42" s="1040"/>
      <c r="AB42" s="1040"/>
      <c r="AC42" s="1040"/>
      <c r="AD42" s="1040"/>
      <c r="AE42" s="1041"/>
      <c r="AF42" s="1040"/>
      <c r="AG42" s="1040">
        <v>0</v>
      </c>
      <c r="AH42" s="1040" t="s">
        <v>691</v>
      </c>
      <c r="AI42" s="1040" t="s">
        <v>594</v>
      </c>
      <c r="AJ42" s="1040" t="s">
        <v>571</v>
      </c>
      <c r="AK42" s="1041">
        <v>76201</v>
      </c>
      <c r="AL42" s="1040"/>
      <c r="AM42" s="1040"/>
      <c r="AN42" s="1040"/>
      <c r="AO42" s="1040">
        <v>0</v>
      </c>
      <c r="AP42" s="1040">
        <v>409780</v>
      </c>
    </row>
    <row r="43" spans="1:42" s="1059" customFormat="1" x14ac:dyDescent="0.3">
      <c r="A43" s="1056"/>
      <c r="B43" s="1056"/>
      <c r="C43" s="1056"/>
      <c r="D43" s="1056"/>
      <c r="E43" s="1056"/>
      <c r="F43" s="1056"/>
      <c r="G43" s="1056"/>
      <c r="H43" s="1057"/>
      <c r="I43" s="1056"/>
      <c r="J43" s="1056"/>
      <c r="K43" s="1056"/>
      <c r="L43" s="1056"/>
      <c r="M43" s="1057"/>
      <c r="N43" s="1057"/>
      <c r="O43" s="1057"/>
      <c r="P43" s="1057"/>
      <c r="Q43" s="1057"/>
      <c r="R43" s="1056"/>
      <c r="S43" s="1057"/>
      <c r="T43" s="1058"/>
      <c r="U43" s="1058"/>
      <c r="V43" s="1058"/>
      <c r="W43" s="1058"/>
      <c r="X43" s="1058"/>
      <c r="Y43" s="1058"/>
      <c r="Z43" s="1056"/>
      <c r="AA43" s="1056"/>
      <c r="AB43" s="1056"/>
      <c r="AC43" s="1056"/>
      <c r="AD43" s="1056"/>
      <c r="AE43" s="1057"/>
      <c r="AF43" s="1056"/>
      <c r="AG43" s="1056"/>
      <c r="AH43" s="1056"/>
      <c r="AI43" s="1056"/>
      <c r="AJ43" s="1056"/>
      <c r="AK43" s="1057"/>
      <c r="AL43" s="1056"/>
      <c r="AM43" s="1056"/>
      <c r="AN43" s="1056"/>
      <c r="AO43" s="1056"/>
      <c r="AP43" s="1056"/>
    </row>
    <row r="44" spans="1:42" s="1059" customFormat="1" x14ac:dyDescent="0.3">
      <c r="A44" s="1060"/>
      <c r="B44" s="1060"/>
      <c r="C44" s="1060"/>
      <c r="D44" s="1060"/>
      <c r="E44" s="1060"/>
      <c r="F44" s="1060"/>
      <c r="G44" s="1060"/>
      <c r="H44" s="1061"/>
      <c r="I44" s="1062" t="s">
        <v>690</v>
      </c>
      <c r="J44" s="1060"/>
      <c r="K44" s="1060"/>
      <c r="L44" s="1060"/>
      <c r="M44" s="1061"/>
      <c r="N44" s="1061"/>
      <c r="O44" s="1061"/>
      <c r="P44" s="1061"/>
      <c r="Q44" s="1061"/>
      <c r="R44" s="1060"/>
      <c r="S44" s="1061"/>
      <c r="T44" s="1063"/>
      <c r="U44" s="1063"/>
      <c r="V44" s="1063"/>
      <c r="W44" s="1063"/>
      <c r="X44" s="1063"/>
      <c r="Y44" s="1063"/>
      <c r="Z44" s="1060"/>
      <c r="AA44" s="1060"/>
      <c r="AB44" s="1060"/>
      <c r="AC44" s="1060"/>
      <c r="AD44" s="1060"/>
      <c r="AE44" s="1061"/>
      <c r="AF44" s="1060"/>
      <c r="AG44" s="1060"/>
      <c r="AH44" s="1060"/>
      <c r="AI44" s="1060"/>
      <c r="AJ44" s="1060"/>
      <c r="AK44" s="1061"/>
      <c r="AL44" s="1060"/>
      <c r="AM44" s="1060"/>
      <c r="AN44" s="1060"/>
      <c r="AO44" s="1060"/>
      <c r="AP44" s="1060"/>
    </row>
    <row r="45" spans="1:42" x14ac:dyDescent="0.3">
      <c r="A45" s="1040">
        <v>98</v>
      </c>
      <c r="B45" s="1040">
        <v>75531</v>
      </c>
      <c r="C45" s="1040" t="s">
        <v>558</v>
      </c>
      <c r="D45" s="1040" t="str">
        <f t="shared" si="0"/>
        <v>061901</v>
      </c>
      <c r="E45" s="1040" t="s">
        <v>559</v>
      </c>
      <c r="F45" s="1040" t="str">
        <f>"005"</f>
        <v>005</v>
      </c>
      <c r="H45" s="1041" t="str">
        <f>"9A"</f>
        <v>9A</v>
      </c>
      <c r="I45" s="1040" t="s">
        <v>692</v>
      </c>
      <c r="J45" s="1040">
        <v>409571</v>
      </c>
      <c r="K45" s="1045">
        <v>41402</v>
      </c>
      <c r="L45" s="1040" t="s">
        <v>561</v>
      </c>
      <c r="M45" s="1041">
        <v>1955</v>
      </c>
      <c r="N45" s="1041" t="s">
        <v>562</v>
      </c>
      <c r="O45" s="1041" t="s">
        <v>562</v>
      </c>
      <c r="P45" s="1041" t="s">
        <v>562</v>
      </c>
      <c r="Q45" s="1041" t="s">
        <v>562</v>
      </c>
      <c r="R45" s="1040">
        <v>15</v>
      </c>
      <c r="S45" s="1041">
        <v>1</v>
      </c>
      <c r="T45" s="1042">
        <v>22335</v>
      </c>
      <c r="U45" s="1042">
        <v>3566698</v>
      </c>
      <c r="V45" s="1042">
        <v>374060</v>
      </c>
      <c r="W45" s="1042"/>
      <c r="X45" s="1042">
        <v>160</v>
      </c>
      <c r="Y45" s="1042">
        <v>17</v>
      </c>
      <c r="Z45" s="1040" t="s">
        <v>563</v>
      </c>
      <c r="AA45" s="1040" t="s">
        <v>693</v>
      </c>
      <c r="AB45" s="1040" t="s">
        <v>565</v>
      </c>
      <c r="AC45" s="1040" t="s">
        <v>566</v>
      </c>
      <c r="AD45" s="1040" t="s">
        <v>694</v>
      </c>
      <c r="AE45" s="1055"/>
      <c r="AF45" s="1040" t="s">
        <v>695</v>
      </c>
      <c r="AG45" s="1040">
        <v>0</v>
      </c>
      <c r="AH45" s="1040" t="s">
        <v>691</v>
      </c>
      <c r="AI45" s="1040" t="s">
        <v>594</v>
      </c>
      <c r="AJ45" s="1040" t="s">
        <v>571</v>
      </c>
      <c r="AK45" s="1041">
        <v>76201</v>
      </c>
      <c r="AL45" s="1040" t="s">
        <v>696</v>
      </c>
      <c r="AM45" s="1040" t="s">
        <v>697</v>
      </c>
      <c r="AN45" s="1040" t="s">
        <v>698</v>
      </c>
      <c r="AO45" s="1040">
        <v>3402000</v>
      </c>
      <c r="AP45" s="1040">
        <v>409571</v>
      </c>
    </row>
    <row r="46" spans="1:42" x14ac:dyDescent="0.3">
      <c r="A46" s="1040">
        <v>98</v>
      </c>
      <c r="B46" s="1040">
        <v>75531</v>
      </c>
      <c r="C46" s="1040" t="s">
        <v>558</v>
      </c>
      <c r="D46" s="1040" t="str">
        <f t="shared" si="0"/>
        <v>061901</v>
      </c>
      <c r="E46" s="1040" t="s">
        <v>559</v>
      </c>
      <c r="F46" s="1040" t="str">
        <f>"006"</f>
        <v>006</v>
      </c>
      <c r="G46" s="1040" t="s">
        <v>699</v>
      </c>
      <c r="H46" s="1041" t="str">
        <f>"15A"</f>
        <v>15A</v>
      </c>
      <c r="I46" s="1040" t="s">
        <v>700</v>
      </c>
      <c r="J46" s="1040">
        <v>409794</v>
      </c>
      <c r="K46" s="1045">
        <v>41400</v>
      </c>
      <c r="L46" s="1040" t="s">
        <v>561</v>
      </c>
      <c r="M46" s="1041">
        <v>1961</v>
      </c>
      <c r="N46" s="1041" t="s">
        <v>562</v>
      </c>
      <c r="O46" s="1041" t="s">
        <v>576</v>
      </c>
      <c r="P46" s="1041" t="s">
        <v>576</v>
      </c>
      <c r="Q46" s="1041" t="s">
        <v>576</v>
      </c>
      <c r="R46" s="1040">
        <v>12</v>
      </c>
      <c r="S46" s="1041">
        <v>1</v>
      </c>
      <c r="T46" s="1042">
        <v>3900</v>
      </c>
      <c r="U46" s="1042">
        <v>509528</v>
      </c>
      <c r="V46" s="1042">
        <v>82783</v>
      </c>
      <c r="W46" s="1042"/>
      <c r="X46" s="1042">
        <v>131</v>
      </c>
      <c r="Y46" s="1042">
        <v>21</v>
      </c>
      <c r="Z46" s="1040" t="s">
        <v>563</v>
      </c>
      <c r="AA46" s="1040" t="s">
        <v>701</v>
      </c>
      <c r="AB46" s="1040" t="s">
        <v>637</v>
      </c>
      <c r="AC46" s="1040" t="s">
        <v>638</v>
      </c>
      <c r="AD46" s="1040" t="s">
        <v>702</v>
      </c>
      <c r="AE46" s="1055"/>
      <c r="AF46" s="1040" t="s">
        <v>592</v>
      </c>
      <c r="AG46" s="1040">
        <v>0</v>
      </c>
      <c r="AH46" s="1040" t="s">
        <v>703</v>
      </c>
      <c r="AI46" s="1040" t="s">
        <v>594</v>
      </c>
      <c r="AJ46" s="1040" t="s">
        <v>571</v>
      </c>
      <c r="AK46" s="1041">
        <v>76201</v>
      </c>
      <c r="AL46" s="1040" t="s">
        <v>704</v>
      </c>
      <c r="AM46" s="1040" t="s">
        <v>705</v>
      </c>
      <c r="AN46" s="1040" t="s">
        <v>602</v>
      </c>
      <c r="AO46" s="1040">
        <v>486000</v>
      </c>
      <c r="AP46" s="1040">
        <v>409794</v>
      </c>
    </row>
    <row r="47" spans="1:42" x14ac:dyDescent="0.3">
      <c r="A47" s="1040">
        <v>98</v>
      </c>
      <c r="B47" s="1040">
        <v>75531</v>
      </c>
      <c r="C47" s="1040" t="s">
        <v>558</v>
      </c>
      <c r="D47" s="1040" t="str">
        <f t="shared" si="0"/>
        <v>061901</v>
      </c>
      <c r="E47" s="1040" t="s">
        <v>559</v>
      </c>
      <c r="F47" s="1040" t="str">
        <f>"006"</f>
        <v>006</v>
      </c>
      <c r="G47" s="1040" t="s">
        <v>699</v>
      </c>
      <c r="H47" s="1041" t="str">
        <f>"15B"</f>
        <v>15B</v>
      </c>
      <c r="I47" s="1040" t="s">
        <v>706</v>
      </c>
      <c r="J47" s="1040">
        <v>409611</v>
      </c>
      <c r="K47" s="1045">
        <v>41400</v>
      </c>
      <c r="L47" s="1040" t="s">
        <v>561</v>
      </c>
      <c r="M47" s="1041">
        <v>2000</v>
      </c>
      <c r="N47" s="1041" t="s">
        <v>576</v>
      </c>
      <c r="O47" s="1041" t="s">
        <v>576</v>
      </c>
      <c r="P47" s="1041" t="s">
        <v>576</v>
      </c>
      <c r="Q47" s="1041" t="s">
        <v>576</v>
      </c>
      <c r="R47" s="1040">
        <v>9</v>
      </c>
      <c r="S47" s="1041">
        <v>1</v>
      </c>
      <c r="T47" s="1042">
        <v>1536</v>
      </c>
      <c r="U47" s="1042">
        <v>150971</v>
      </c>
      <c r="V47" s="1042">
        <v>22484</v>
      </c>
      <c r="W47" s="1042"/>
      <c r="X47" s="1042">
        <v>98</v>
      </c>
      <c r="Y47" s="1042">
        <v>15</v>
      </c>
      <c r="Z47" s="1040" t="s">
        <v>577</v>
      </c>
      <c r="AA47" s="1040" t="s">
        <v>578</v>
      </c>
      <c r="AB47" s="1040" t="s">
        <v>579</v>
      </c>
      <c r="AC47" s="1040" t="s">
        <v>580</v>
      </c>
      <c r="AD47" s="1040" t="s">
        <v>581</v>
      </c>
      <c r="AE47" s="1054"/>
      <c r="AF47" s="1040" t="s">
        <v>582</v>
      </c>
      <c r="AG47" s="1040">
        <v>0</v>
      </c>
      <c r="AH47" s="1040" t="s">
        <v>703</v>
      </c>
      <c r="AI47" s="1040" t="s">
        <v>594</v>
      </c>
      <c r="AJ47" s="1040" t="s">
        <v>571</v>
      </c>
      <c r="AK47" s="1041">
        <v>76201</v>
      </c>
      <c r="AL47" s="1040" t="s">
        <v>707</v>
      </c>
      <c r="AM47" s="1040" t="s">
        <v>708</v>
      </c>
      <c r="AN47" s="1040" t="s">
        <v>585</v>
      </c>
      <c r="AO47" s="1040">
        <v>144000</v>
      </c>
      <c r="AP47" s="1040">
        <v>409611</v>
      </c>
    </row>
    <row r="48" spans="1:42" x14ac:dyDescent="0.3">
      <c r="A48" s="1040">
        <v>98</v>
      </c>
      <c r="B48" s="1040">
        <v>75531</v>
      </c>
      <c r="C48" s="1040" t="s">
        <v>558</v>
      </c>
      <c r="D48" s="1040" t="str">
        <f t="shared" si="0"/>
        <v>061901</v>
      </c>
      <c r="E48" s="1040" t="s">
        <v>559</v>
      </c>
      <c r="F48" s="1040" t="str">
        <f>"006"</f>
        <v>006</v>
      </c>
      <c r="G48" s="1040" t="s">
        <v>699</v>
      </c>
      <c r="H48" s="1041" t="str">
        <f>"15C"</f>
        <v>15C</v>
      </c>
      <c r="I48" s="1040" t="s">
        <v>709</v>
      </c>
      <c r="J48" s="1040">
        <v>409612</v>
      </c>
      <c r="K48" s="1045">
        <v>41400</v>
      </c>
      <c r="L48" s="1040" t="s">
        <v>561</v>
      </c>
      <c r="M48" s="1041">
        <v>2000</v>
      </c>
      <c r="N48" s="1041" t="s">
        <v>576</v>
      </c>
      <c r="O48" s="1041" t="s">
        <v>576</v>
      </c>
      <c r="P48" s="1041" t="s">
        <v>576</v>
      </c>
      <c r="Q48" s="1041" t="s">
        <v>576</v>
      </c>
      <c r="R48" s="1040">
        <v>9</v>
      </c>
      <c r="S48" s="1041">
        <v>1</v>
      </c>
      <c r="T48" s="1042">
        <v>1536</v>
      </c>
      <c r="U48" s="1042">
        <v>150971</v>
      </c>
      <c r="V48" s="1042">
        <v>22484</v>
      </c>
      <c r="W48" s="1042"/>
      <c r="X48" s="1042">
        <v>98</v>
      </c>
      <c r="Y48" s="1042">
        <v>15</v>
      </c>
      <c r="Z48" s="1040" t="s">
        <v>577</v>
      </c>
      <c r="AA48" s="1040" t="s">
        <v>578</v>
      </c>
      <c r="AB48" s="1040" t="s">
        <v>579</v>
      </c>
      <c r="AC48" s="1040" t="s">
        <v>580</v>
      </c>
      <c r="AD48" s="1040" t="s">
        <v>581</v>
      </c>
      <c r="AE48" s="1054"/>
      <c r="AF48" s="1040" t="s">
        <v>582</v>
      </c>
      <c r="AG48" s="1040">
        <v>0</v>
      </c>
      <c r="AH48" s="1040" t="s">
        <v>703</v>
      </c>
      <c r="AI48" s="1040" t="s">
        <v>594</v>
      </c>
      <c r="AJ48" s="1040" t="s">
        <v>571</v>
      </c>
      <c r="AK48" s="1041">
        <v>76201</v>
      </c>
      <c r="AL48" s="1040" t="s">
        <v>710</v>
      </c>
      <c r="AM48" s="1040" t="s">
        <v>711</v>
      </c>
      <c r="AN48" s="1040" t="s">
        <v>585</v>
      </c>
      <c r="AO48" s="1040">
        <v>144000</v>
      </c>
      <c r="AP48" s="1040">
        <v>409612</v>
      </c>
    </row>
    <row r="49" spans="1:42" x14ac:dyDescent="0.3">
      <c r="A49" s="1040">
        <v>98</v>
      </c>
      <c r="B49" s="1040">
        <v>75531</v>
      </c>
      <c r="C49" s="1040" t="s">
        <v>558</v>
      </c>
      <c r="D49" s="1040" t="str">
        <f t="shared" si="0"/>
        <v>061901</v>
      </c>
      <c r="E49" s="1040" t="s">
        <v>559</v>
      </c>
      <c r="F49" s="1040" t="str">
        <f>"006"</f>
        <v>006</v>
      </c>
      <c r="G49" s="1040" t="s">
        <v>699</v>
      </c>
      <c r="H49" s="1041" t="str">
        <f>"999"</f>
        <v>999</v>
      </c>
      <c r="I49" s="1040" t="s">
        <v>586</v>
      </c>
      <c r="J49" s="1040">
        <v>409792</v>
      </c>
      <c r="K49" s="1040"/>
      <c r="L49" s="1040" t="s">
        <v>561</v>
      </c>
      <c r="M49" s="1041"/>
      <c r="N49" s="1041" t="s">
        <v>576</v>
      </c>
      <c r="O49" s="1041" t="s">
        <v>576</v>
      </c>
      <c r="P49" s="1041" t="s">
        <v>576</v>
      </c>
      <c r="Q49" s="1041" t="s">
        <v>576</v>
      </c>
      <c r="R49" s="1040">
        <v>0</v>
      </c>
      <c r="S49" s="1041">
        <v>0</v>
      </c>
      <c r="T49" s="1042"/>
      <c r="U49" s="1042"/>
      <c r="V49" s="1042"/>
      <c r="W49" s="1042">
        <v>4194</v>
      </c>
      <c r="X49" s="1042"/>
      <c r="Y49" s="1042"/>
      <c r="Z49" s="1040"/>
      <c r="AA49" s="1040"/>
      <c r="AB49" s="1040"/>
      <c r="AC49" s="1040"/>
      <c r="AD49" s="1040"/>
      <c r="AE49" s="1041"/>
      <c r="AF49" s="1040"/>
      <c r="AG49" s="1040">
        <v>0</v>
      </c>
      <c r="AH49" s="1040" t="s">
        <v>703</v>
      </c>
      <c r="AI49" s="1040" t="s">
        <v>594</v>
      </c>
      <c r="AJ49" s="1040" t="s">
        <v>571</v>
      </c>
      <c r="AK49" s="1041">
        <v>76201</v>
      </c>
      <c r="AL49" s="1040"/>
      <c r="AM49" s="1040"/>
      <c r="AN49" s="1040"/>
      <c r="AO49" s="1040">
        <v>0</v>
      </c>
      <c r="AP49" s="1040">
        <v>409792</v>
      </c>
    </row>
    <row r="50" spans="1:42" s="1059" customFormat="1" x14ac:dyDescent="0.3">
      <c r="A50" s="1056"/>
      <c r="B50" s="1056"/>
      <c r="C50" s="1056"/>
      <c r="D50" s="1056"/>
      <c r="E50" s="1056"/>
      <c r="F50" s="1056"/>
      <c r="G50" s="1056"/>
      <c r="H50" s="1057"/>
      <c r="I50" s="1056"/>
      <c r="J50" s="1056"/>
      <c r="K50" s="1056"/>
      <c r="L50" s="1056"/>
      <c r="M50" s="1057"/>
      <c r="N50" s="1057"/>
      <c r="O50" s="1057"/>
      <c r="P50" s="1057"/>
      <c r="Q50" s="1057"/>
      <c r="R50" s="1056"/>
      <c r="S50" s="1057"/>
      <c r="T50" s="1058"/>
      <c r="U50" s="1058"/>
      <c r="V50" s="1058"/>
      <c r="W50" s="1058"/>
      <c r="X50" s="1058"/>
      <c r="Y50" s="1058"/>
      <c r="Z50" s="1056"/>
      <c r="AA50" s="1056"/>
      <c r="AB50" s="1056"/>
      <c r="AC50" s="1056"/>
      <c r="AD50" s="1056"/>
      <c r="AE50" s="1057"/>
      <c r="AF50" s="1056"/>
      <c r="AG50" s="1056"/>
      <c r="AH50" s="1056"/>
      <c r="AI50" s="1056"/>
      <c r="AJ50" s="1056"/>
      <c r="AK50" s="1057"/>
      <c r="AL50" s="1056"/>
      <c r="AM50" s="1056"/>
      <c r="AN50" s="1056"/>
      <c r="AO50" s="1056"/>
      <c r="AP50" s="1056"/>
    </row>
    <row r="51" spans="1:42" s="1059" customFormat="1" x14ac:dyDescent="0.3">
      <c r="A51" s="1060"/>
      <c r="B51" s="1060"/>
      <c r="C51" s="1060"/>
      <c r="D51" s="1060"/>
      <c r="E51" s="1060"/>
      <c r="F51" s="1060"/>
      <c r="G51" s="1060"/>
      <c r="H51" s="1061"/>
      <c r="I51" s="1062" t="s">
        <v>712</v>
      </c>
      <c r="J51" s="1060"/>
      <c r="K51" s="1060"/>
      <c r="L51" s="1060"/>
      <c r="M51" s="1061"/>
      <c r="N51" s="1061"/>
      <c r="O51" s="1061"/>
      <c r="P51" s="1061"/>
      <c r="Q51" s="1061"/>
      <c r="R51" s="1060"/>
      <c r="S51" s="1061"/>
      <c r="T51" s="1063"/>
      <c r="U51" s="1063"/>
      <c r="V51" s="1063"/>
      <c r="W51" s="1063"/>
      <c r="X51" s="1063"/>
      <c r="Y51" s="1063"/>
      <c r="Z51" s="1060"/>
      <c r="AA51" s="1060"/>
      <c r="AB51" s="1060"/>
      <c r="AC51" s="1060"/>
      <c r="AD51" s="1060"/>
      <c r="AE51" s="1061"/>
      <c r="AF51" s="1060"/>
      <c r="AG51" s="1060"/>
      <c r="AH51" s="1060"/>
      <c r="AI51" s="1060"/>
      <c r="AJ51" s="1060"/>
      <c r="AK51" s="1061"/>
      <c r="AL51" s="1060"/>
      <c r="AM51" s="1060"/>
      <c r="AN51" s="1060"/>
      <c r="AO51" s="1060"/>
      <c r="AP51" s="1060"/>
    </row>
    <row r="52" spans="1:42" x14ac:dyDescent="0.3">
      <c r="A52" s="1040">
        <v>98</v>
      </c>
      <c r="B52" s="1040">
        <v>75531</v>
      </c>
      <c r="C52" s="1040" t="s">
        <v>558</v>
      </c>
      <c r="D52" s="1040" t="str">
        <f t="shared" si="0"/>
        <v>061901</v>
      </c>
      <c r="E52" s="1040" t="s">
        <v>559</v>
      </c>
      <c r="F52" s="1040" t="str">
        <f>"007"</f>
        <v>007</v>
      </c>
      <c r="H52" s="1041" t="str">
        <f>"32B"</f>
        <v>32B</v>
      </c>
      <c r="I52" s="1040" t="s">
        <v>713</v>
      </c>
      <c r="J52" s="1040">
        <v>409567</v>
      </c>
      <c r="K52" s="1045">
        <v>41410</v>
      </c>
      <c r="L52" s="1040" t="s">
        <v>561</v>
      </c>
      <c r="M52" s="1041">
        <v>2003</v>
      </c>
      <c r="N52" s="1041" t="s">
        <v>562</v>
      </c>
      <c r="O52" s="1041" t="s">
        <v>562</v>
      </c>
      <c r="P52" s="1041" t="s">
        <v>562</v>
      </c>
      <c r="Q52" s="1041" t="s">
        <v>562</v>
      </c>
      <c r="R52" s="1040">
        <v>17</v>
      </c>
      <c r="S52" s="1041">
        <v>2</v>
      </c>
      <c r="T52" s="1042">
        <v>23615</v>
      </c>
      <c r="U52" s="1042">
        <v>3488067</v>
      </c>
      <c r="V52" s="1042">
        <v>624454</v>
      </c>
      <c r="W52" s="1042"/>
      <c r="X52" s="1042">
        <v>148</v>
      </c>
      <c r="Y52" s="1042">
        <v>26</v>
      </c>
      <c r="Z52" s="1040" t="s">
        <v>563</v>
      </c>
      <c r="AA52" s="1040" t="s">
        <v>714</v>
      </c>
      <c r="AB52" s="1040" t="s">
        <v>565</v>
      </c>
      <c r="AC52" s="1040" t="s">
        <v>566</v>
      </c>
      <c r="AD52" s="1040" t="s">
        <v>715</v>
      </c>
      <c r="AE52" s="1041"/>
      <c r="AF52" s="1040" t="s">
        <v>716</v>
      </c>
      <c r="AG52" s="1040">
        <v>0</v>
      </c>
      <c r="AH52" s="1040" t="s">
        <v>717</v>
      </c>
      <c r="AI52" s="1040" t="s">
        <v>594</v>
      </c>
      <c r="AJ52" s="1040" t="s">
        <v>571</v>
      </c>
      <c r="AK52" s="1041">
        <v>76201</v>
      </c>
      <c r="AL52" s="1040" t="s">
        <v>718</v>
      </c>
      <c r="AM52" s="1040" t="s">
        <v>719</v>
      </c>
      <c r="AN52" s="1040" t="s">
        <v>689</v>
      </c>
      <c r="AO52" s="1040">
        <v>3327000</v>
      </c>
      <c r="AP52" s="1040">
        <v>409567</v>
      </c>
    </row>
    <row r="53" spans="1:42" x14ac:dyDescent="0.3">
      <c r="A53" s="1040">
        <v>98</v>
      </c>
      <c r="B53" s="1040">
        <v>75531</v>
      </c>
      <c r="C53" s="1040" t="s">
        <v>558</v>
      </c>
      <c r="D53" s="1040" t="str">
        <f t="shared" si="0"/>
        <v>061901</v>
      </c>
      <c r="E53" s="1040" t="s">
        <v>559</v>
      </c>
      <c r="F53" s="1040" t="str">
        <f>"007"</f>
        <v>007</v>
      </c>
      <c r="G53" s="1040" t="s">
        <v>712</v>
      </c>
      <c r="H53" s="1041" t="str">
        <f>"32C"</f>
        <v>32C</v>
      </c>
      <c r="I53" s="1040" t="s">
        <v>720</v>
      </c>
      <c r="J53" s="1040">
        <v>409613</v>
      </c>
      <c r="K53" s="1045">
        <v>41410</v>
      </c>
      <c r="L53" s="1040" t="s">
        <v>561</v>
      </c>
      <c r="M53" s="1041">
        <v>2012</v>
      </c>
      <c r="N53" s="1041" t="s">
        <v>576</v>
      </c>
      <c r="O53" s="1041" t="s">
        <v>576</v>
      </c>
      <c r="P53" s="1041" t="s">
        <v>576</v>
      </c>
      <c r="Q53" s="1041" t="s">
        <v>576</v>
      </c>
      <c r="R53" s="1040">
        <v>9</v>
      </c>
      <c r="S53" s="1041">
        <v>1</v>
      </c>
      <c r="T53" s="1042">
        <v>1800</v>
      </c>
      <c r="U53" s="1042">
        <v>175085</v>
      </c>
      <c r="V53" s="1042">
        <v>26572</v>
      </c>
      <c r="W53" s="1042"/>
      <c r="X53" s="1042">
        <v>97</v>
      </c>
      <c r="Y53" s="1042">
        <v>15</v>
      </c>
      <c r="Z53" s="1040" t="s">
        <v>577</v>
      </c>
      <c r="AA53" s="1040" t="s">
        <v>578</v>
      </c>
      <c r="AB53" s="1040" t="s">
        <v>579</v>
      </c>
      <c r="AC53" s="1040" t="s">
        <v>580</v>
      </c>
      <c r="AD53" s="1040" t="s">
        <v>581</v>
      </c>
      <c r="AE53" s="1054"/>
      <c r="AF53" s="1040" t="s">
        <v>582</v>
      </c>
      <c r="AG53" s="1040">
        <v>0</v>
      </c>
      <c r="AH53" s="1040" t="s">
        <v>721</v>
      </c>
      <c r="AI53" s="1040" t="s">
        <v>594</v>
      </c>
      <c r="AJ53" s="1040" t="s">
        <v>571</v>
      </c>
      <c r="AK53" s="1041">
        <v>76201</v>
      </c>
      <c r="AL53" s="1040" t="s">
        <v>718</v>
      </c>
      <c r="AM53" s="1040" t="s">
        <v>722</v>
      </c>
      <c r="AN53" s="1040" t="s">
        <v>723</v>
      </c>
      <c r="AO53" s="1040">
        <v>167000</v>
      </c>
      <c r="AP53" s="1040">
        <v>409613</v>
      </c>
    </row>
    <row r="54" spans="1:42" ht="13.5" customHeight="1" x14ac:dyDescent="0.3">
      <c r="A54" s="1040">
        <v>98</v>
      </c>
      <c r="B54" s="1040">
        <v>75531</v>
      </c>
      <c r="C54" s="1040" t="s">
        <v>558</v>
      </c>
      <c r="D54" s="1040" t="str">
        <f t="shared" si="0"/>
        <v>061901</v>
      </c>
      <c r="E54" s="1040" t="s">
        <v>559</v>
      </c>
      <c r="F54" s="1040" t="str">
        <f>"007"</f>
        <v>007</v>
      </c>
      <c r="G54" s="1040" t="s">
        <v>712</v>
      </c>
      <c r="H54" s="1041" t="str">
        <f>"999"</f>
        <v>999</v>
      </c>
      <c r="I54" s="1040" t="s">
        <v>586</v>
      </c>
      <c r="J54" s="1040">
        <v>409776</v>
      </c>
      <c r="K54" s="1040"/>
      <c r="L54" s="1040" t="s">
        <v>561</v>
      </c>
      <c r="M54" s="1041"/>
      <c r="N54" s="1041" t="s">
        <v>576</v>
      </c>
      <c r="O54" s="1041" t="s">
        <v>576</v>
      </c>
      <c r="P54" s="1041" t="s">
        <v>576</v>
      </c>
      <c r="Q54" s="1041" t="s">
        <v>576</v>
      </c>
      <c r="R54" s="1040">
        <v>0</v>
      </c>
      <c r="S54" s="1041">
        <v>0</v>
      </c>
      <c r="T54" s="1042"/>
      <c r="U54" s="1042"/>
      <c r="V54" s="1042"/>
      <c r="W54" s="1042">
        <v>35645</v>
      </c>
      <c r="X54" s="1042"/>
      <c r="Y54" s="1042"/>
      <c r="Z54" s="1040"/>
      <c r="AA54" s="1040"/>
      <c r="AB54" s="1040"/>
      <c r="AC54" s="1040"/>
      <c r="AD54" s="1040"/>
      <c r="AE54" s="1041"/>
      <c r="AF54" s="1040"/>
      <c r="AG54" s="1040">
        <v>0</v>
      </c>
      <c r="AH54" s="1040" t="s">
        <v>717</v>
      </c>
      <c r="AI54" s="1040" t="s">
        <v>594</v>
      </c>
      <c r="AJ54" s="1040" t="s">
        <v>571</v>
      </c>
      <c r="AK54" s="1041">
        <v>76201</v>
      </c>
      <c r="AL54" s="1040"/>
      <c r="AM54" s="1040"/>
      <c r="AN54" s="1040" t="s">
        <v>689</v>
      </c>
      <c r="AO54" s="1040">
        <v>0</v>
      </c>
      <c r="AP54" s="1040">
        <v>409776</v>
      </c>
    </row>
    <row r="55" spans="1:42" s="1059" customFormat="1" x14ac:dyDescent="0.3">
      <c r="A55" s="1056"/>
      <c r="B55" s="1056"/>
      <c r="C55" s="1056"/>
      <c r="D55" s="1056"/>
      <c r="E55" s="1056"/>
      <c r="F55" s="1056"/>
      <c r="G55" s="1056"/>
      <c r="H55" s="1057"/>
      <c r="I55" s="1056"/>
      <c r="J55" s="1056"/>
      <c r="K55" s="1056"/>
      <c r="L55" s="1056"/>
      <c r="M55" s="1057"/>
      <c r="N55" s="1057"/>
      <c r="O55" s="1057"/>
      <c r="P55" s="1057"/>
      <c r="Q55" s="1057"/>
      <c r="R55" s="1056"/>
      <c r="S55" s="1057"/>
      <c r="T55" s="1058"/>
      <c r="U55" s="1058"/>
      <c r="V55" s="1058"/>
      <c r="W55" s="1058"/>
      <c r="X55" s="1058"/>
      <c r="Y55" s="1058"/>
      <c r="Z55" s="1056"/>
      <c r="AA55" s="1056"/>
      <c r="AB55" s="1056"/>
      <c r="AC55" s="1056"/>
      <c r="AD55" s="1056"/>
      <c r="AE55" s="1057"/>
      <c r="AF55" s="1056"/>
      <c r="AG55" s="1056"/>
      <c r="AH55" s="1056"/>
      <c r="AI55" s="1056"/>
      <c r="AJ55" s="1056"/>
      <c r="AK55" s="1057"/>
      <c r="AL55" s="1056"/>
      <c r="AM55" s="1056"/>
      <c r="AN55" s="1056"/>
      <c r="AO55" s="1056"/>
      <c r="AP55" s="1056"/>
    </row>
    <row r="56" spans="1:42" s="1059" customFormat="1" x14ac:dyDescent="0.3">
      <c r="A56" s="1060"/>
      <c r="B56" s="1060"/>
      <c r="C56" s="1060"/>
      <c r="D56" s="1060"/>
      <c r="E56" s="1060"/>
      <c r="F56" s="1060"/>
      <c r="G56" s="1060"/>
      <c r="H56" s="1061"/>
      <c r="I56" s="1062" t="s">
        <v>724</v>
      </c>
      <c r="J56" s="1060"/>
      <c r="K56" s="1060"/>
      <c r="L56" s="1060"/>
      <c r="M56" s="1061"/>
      <c r="N56" s="1061"/>
      <c r="O56" s="1061"/>
      <c r="P56" s="1061"/>
      <c r="Q56" s="1061"/>
      <c r="R56" s="1060"/>
      <c r="S56" s="1061"/>
      <c r="T56" s="1063"/>
      <c r="U56" s="1063"/>
      <c r="V56" s="1063"/>
      <c r="W56" s="1063"/>
      <c r="X56" s="1063"/>
      <c r="Y56" s="1063"/>
      <c r="Z56" s="1060"/>
      <c r="AA56" s="1060"/>
      <c r="AB56" s="1060"/>
      <c r="AC56" s="1060"/>
      <c r="AD56" s="1060"/>
      <c r="AE56" s="1061"/>
      <c r="AF56" s="1060"/>
      <c r="AG56" s="1060"/>
      <c r="AH56" s="1060"/>
      <c r="AI56" s="1060"/>
      <c r="AJ56" s="1060"/>
      <c r="AK56" s="1061"/>
      <c r="AL56" s="1060"/>
      <c r="AM56" s="1060"/>
      <c r="AN56" s="1060"/>
      <c r="AO56" s="1060"/>
      <c r="AP56" s="1060"/>
    </row>
    <row r="57" spans="1:42" x14ac:dyDescent="0.3">
      <c r="A57" s="1040">
        <v>98</v>
      </c>
      <c r="B57" s="1040">
        <v>75531</v>
      </c>
      <c r="C57" s="1040" t="s">
        <v>558</v>
      </c>
      <c r="D57" s="1040" t="str">
        <f t="shared" si="0"/>
        <v>061901</v>
      </c>
      <c r="E57" s="1040" t="s">
        <v>559</v>
      </c>
      <c r="F57" s="1040" t="str">
        <f>"008"</f>
        <v>008</v>
      </c>
      <c r="H57" s="1041" t="str">
        <f>"7A"</f>
        <v>7A</v>
      </c>
      <c r="I57" s="1040" t="s">
        <v>560</v>
      </c>
      <c r="J57" s="1040">
        <v>409527</v>
      </c>
      <c r="K57" s="1045">
        <v>41393</v>
      </c>
      <c r="L57" s="1040" t="s">
        <v>561</v>
      </c>
      <c r="M57" s="1041">
        <v>1987</v>
      </c>
      <c r="N57" s="1041" t="s">
        <v>562</v>
      </c>
      <c r="O57" s="1041" t="s">
        <v>562</v>
      </c>
      <c r="P57" s="1041" t="s">
        <v>562</v>
      </c>
      <c r="Q57" s="1041" t="s">
        <v>562</v>
      </c>
      <c r="R57" s="1040">
        <v>14</v>
      </c>
      <c r="S57" s="1041">
        <v>1</v>
      </c>
      <c r="T57" s="1042">
        <v>70077</v>
      </c>
      <c r="U57" s="1042">
        <v>10483781</v>
      </c>
      <c r="V57" s="1042">
        <v>1713576</v>
      </c>
      <c r="W57" s="1042"/>
      <c r="X57" s="1042">
        <v>150</v>
      </c>
      <c r="Y57" s="1042">
        <v>24</v>
      </c>
      <c r="Z57" s="1040" t="s">
        <v>563</v>
      </c>
      <c r="AA57" s="1040" t="s">
        <v>693</v>
      </c>
      <c r="AB57" s="1040" t="s">
        <v>637</v>
      </c>
      <c r="AC57" s="1040" t="s">
        <v>638</v>
      </c>
      <c r="AD57" s="1040" t="s">
        <v>581</v>
      </c>
      <c r="AE57" s="1054"/>
      <c r="AF57" s="1040" t="s">
        <v>582</v>
      </c>
      <c r="AG57" s="1040">
        <v>0</v>
      </c>
      <c r="AH57" s="1040" t="s">
        <v>725</v>
      </c>
      <c r="AI57" s="1040" t="s">
        <v>594</v>
      </c>
      <c r="AJ57" s="1040" t="s">
        <v>571</v>
      </c>
      <c r="AK57" s="1041">
        <v>76210</v>
      </c>
      <c r="AL57" s="1040" t="s">
        <v>726</v>
      </c>
      <c r="AM57" s="1040" t="s">
        <v>727</v>
      </c>
      <c r="AN57" s="1040" t="s">
        <v>728</v>
      </c>
      <c r="AO57" s="1040">
        <v>9999674</v>
      </c>
      <c r="AP57" s="1040">
        <v>409527</v>
      </c>
    </row>
    <row r="58" spans="1:42" x14ac:dyDescent="0.3">
      <c r="A58" s="1040">
        <v>98</v>
      </c>
      <c r="B58" s="1040">
        <v>75531</v>
      </c>
      <c r="C58" s="1040" t="s">
        <v>558</v>
      </c>
      <c r="D58" s="1040" t="str">
        <f t="shared" si="0"/>
        <v>061901</v>
      </c>
      <c r="E58" s="1040" t="s">
        <v>559</v>
      </c>
      <c r="F58" s="1040" t="str">
        <f>"008"</f>
        <v>008</v>
      </c>
      <c r="G58" s="1040" t="s">
        <v>724</v>
      </c>
      <c r="H58" s="1041" t="str">
        <f>"7E"</f>
        <v>7E</v>
      </c>
      <c r="I58" s="1040" t="s">
        <v>729</v>
      </c>
      <c r="J58" s="1040">
        <v>409617</v>
      </c>
      <c r="K58" s="1045">
        <v>41393</v>
      </c>
      <c r="L58" s="1040" t="s">
        <v>561</v>
      </c>
      <c r="M58" s="1041">
        <v>2000</v>
      </c>
      <c r="N58" s="1041" t="s">
        <v>576</v>
      </c>
      <c r="O58" s="1041" t="s">
        <v>576</v>
      </c>
      <c r="P58" s="1041" t="s">
        <v>576</v>
      </c>
      <c r="Q58" s="1041" t="s">
        <v>576</v>
      </c>
      <c r="R58" s="1040">
        <v>9</v>
      </c>
      <c r="S58" s="1041">
        <v>1</v>
      </c>
      <c r="T58" s="1042">
        <v>768</v>
      </c>
      <c r="U58" s="1042">
        <v>74931</v>
      </c>
      <c r="V58" s="1042">
        <v>11320</v>
      </c>
      <c r="W58" s="1042"/>
      <c r="X58" s="1042">
        <v>98</v>
      </c>
      <c r="Y58" s="1042">
        <v>15</v>
      </c>
      <c r="Z58" s="1040" t="s">
        <v>577</v>
      </c>
      <c r="AA58" s="1040" t="s">
        <v>578</v>
      </c>
      <c r="AB58" s="1040" t="s">
        <v>579</v>
      </c>
      <c r="AC58" s="1040" t="s">
        <v>580</v>
      </c>
      <c r="AD58" s="1040" t="s">
        <v>581</v>
      </c>
      <c r="AE58" s="1054"/>
      <c r="AF58" s="1040" t="s">
        <v>582</v>
      </c>
      <c r="AG58" s="1040">
        <v>0</v>
      </c>
      <c r="AH58" s="1040" t="s">
        <v>725</v>
      </c>
      <c r="AI58" s="1040" t="s">
        <v>594</v>
      </c>
      <c r="AJ58" s="1040" t="s">
        <v>571</v>
      </c>
      <c r="AK58" s="1041">
        <v>76210</v>
      </c>
      <c r="AL58" s="1040" t="s">
        <v>730</v>
      </c>
      <c r="AM58" s="1040" t="s">
        <v>731</v>
      </c>
      <c r="AN58" s="1040" t="s">
        <v>732</v>
      </c>
      <c r="AO58" s="1040">
        <v>71470</v>
      </c>
      <c r="AP58" s="1040">
        <v>409617</v>
      </c>
    </row>
    <row r="59" spans="1:42" x14ac:dyDescent="0.3">
      <c r="A59" s="1040">
        <v>98</v>
      </c>
      <c r="B59" s="1040">
        <v>75531</v>
      </c>
      <c r="C59" s="1040" t="s">
        <v>558</v>
      </c>
      <c r="D59" s="1040" t="str">
        <f t="shared" si="0"/>
        <v>061901</v>
      </c>
      <c r="E59" s="1040" t="s">
        <v>559</v>
      </c>
      <c r="F59" s="1040" t="str">
        <f>"008"</f>
        <v>008</v>
      </c>
      <c r="G59" s="1040" t="s">
        <v>724</v>
      </c>
      <c r="H59" s="1041" t="str">
        <f>"7F"</f>
        <v>7F</v>
      </c>
      <c r="I59" s="1040" t="s">
        <v>733</v>
      </c>
      <c r="J59" s="1040">
        <v>409618</v>
      </c>
      <c r="K59" s="1045">
        <v>41393</v>
      </c>
      <c r="L59" s="1040" t="s">
        <v>561</v>
      </c>
      <c r="M59" s="1041">
        <v>2000</v>
      </c>
      <c r="N59" s="1041" t="s">
        <v>576</v>
      </c>
      <c r="O59" s="1041" t="s">
        <v>576</v>
      </c>
      <c r="P59" s="1041" t="s">
        <v>576</v>
      </c>
      <c r="Q59" s="1041" t="s">
        <v>576</v>
      </c>
      <c r="R59" s="1040">
        <v>9</v>
      </c>
      <c r="S59" s="1041">
        <v>1</v>
      </c>
      <c r="T59" s="1042">
        <v>1536</v>
      </c>
      <c r="U59" s="1042">
        <v>149860</v>
      </c>
      <c r="V59" s="1042">
        <v>22643</v>
      </c>
      <c r="W59" s="1042"/>
      <c r="X59" s="1042">
        <v>98</v>
      </c>
      <c r="Y59" s="1042">
        <v>15</v>
      </c>
      <c r="Z59" s="1040" t="s">
        <v>577</v>
      </c>
      <c r="AA59" s="1040" t="s">
        <v>578</v>
      </c>
      <c r="AB59" s="1040" t="s">
        <v>579</v>
      </c>
      <c r="AC59" s="1040" t="s">
        <v>580</v>
      </c>
      <c r="AD59" s="1040" t="s">
        <v>581</v>
      </c>
      <c r="AE59" s="1054"/>
      <c r="AF59" s="1040" t="s">
        <v>582</v>
      </c>
      <c r="AG59" s="1040">
        <v>0</v>
      </c>
      <c r="AH59" s="1040" t="s">
        <v>725</v>
      </c>
      <c r="AI59" s="1040" t="s">
        <v>594</v>
      </c>
      <c r="AJ59" s="1040" t="s">
        <v>571</v>
      </c>
      <c r="AK59" s="1041">
        <v>76210</v>
      </c>
      <c r="AL59" s="1040" t="s">
        <v>734</v>
      </c>
      <c r="AM59" s="1040" t="s">
        <v>735</v>
      </c>
      <c r="AN59" s="1040" t="s">
        <v>732</v>
      </c>
      <c r="AO59" s="1040">
        <v>142940</v>
      </c>
      <c r="AP59" s="1040">
        <v>409618</v>
      </c>
    </row>
    <row r="60" spans="1:42" x14ac:dyDescent="0.3">
      <c r="A60" s="1040">
        <v>98</v>
      </c>
      <c r="B60" s="1040">
        <v>75531</v>
      </c>
      <c r="C60" s="1040" t="s">
        <v>558</v>
      </c>
      <c r="D60" s="1040" t="str">
        <f t="shared" si="0"/>
        <v>061901</v>
      </c>
      <c r="E60" s="1040" t="s">
        <v>559</v>
      </c>
      <c r="F60" s="1040" t="str">
        <f>"008"</f>
        <v>008</v>
      </c>
      <c r="G60" s="1040" t="s">
        <v>724</v>
      </c>
      <c r="H60" s="1041" t="str">
        <f>"999"</f>
        <v>999</v>
      </c>
      <c r="I60" s="1040" t="s">
        <v>586</v>
      </c>
      <c r="J60" s="1040">
        <v>409790</v>
      </c>
      <c r="K60" s="1040"/>
      <c r="L60" s="1040" t="s">
        <v>561</v>
      </c>
      <c r="M60" s="1041"/>
      <c r="N60" s="1041" t="s">
        <v>576</v>
      </c>
      <c r="O60" s="1041" t="s">
        <v>576</v>
      </c>
      <c r="P60" s="1041" t="s">
        <v>576</v>
      </c>
      <c r="Q60" s="1041" t="s">
        <v>576</v>
      </c>
      <c r="R60" s="1040">
        <v>0</v>
      </c>
      <c r="S60" s="1041">
        <v>0</v>
      </c>
      <c r="T60" s="1042"/>
      <c r="U60" s="1042"/>
      <c r="V60" s="1042"/>
      <c r="W60" s="1042">
        <v>404687</v>
      </c>
      <c r="X60" s="1042"/>
      <c r="Y60" s="1042"/>
      <c r="Z60" s="1040"/>
      <c r="AA60" s="1040"/>
      <c r="AB60" s="1040"/>
      <c r="AC60" s="1040"/>
      <c r="AD60" s="1040"/>
      <c r="AE60" s="1041"/>
      <c r="AF60" s="1040"/>
      <c r="AG60" s="1040">
        <v>0</v>
      </c>
      <c r="AH60" s="1040" t="s">
        <v>725</v>
      </c>
      <c r="AI60" s="1040" t="s">
        <v>594</v>
      </c>
      <c r="AJ60" s="1040" t="s">
        <v>571</v>
      </c>
      <c r="AK60" s="1041">
        <v>76210</v>
      </c>
      <c r="AL60" s="1040"/>
      <c r="AM60" s="1040"/>
      <c r="AN60" s="1040"/>
      <c r="AO60" s="1040">
        <v>0</v>
      </c>
      <c r="AP60" s="1040">
        <v>409790</v>
      </c>
    </row>
    <row r="61" spans="1:42" s="1059" customFormat="1" x14ac:dyDescent="0.3">
      <c r="A61" s="1056"/>
      <c r="B61" s="1056"/>
      <c r="C61" s="1056"/>
      <c r="D61" s="1056"/>
      <c r="E61" s="1056"/>
      <c r="F61" s="1056"/>
      <c r="G61" s="1056"/>
      <c r="H61" s="1057"/>
      <c r="I61" s="1056"/>
      <c r="J61" s="1056"/>
      <c r="K61" s="1056"/>
      <c r="L61" s="1056"/>
      <c r="M61" s="1057"/>
      <c r="N61" s="1057"/>
      <c r="O61" s="1057"/>
      <c r="P61" s="1057"/>
      <c r="Q61" s="1057"/>
      <c r="R61" s="1056"/>
      <c r="S61" s="1057"/>
      <c r="T61" s="1058"/>
      <c r="U61" s="1058"/>
      <c r="V61" s="1058"/>
      <c r="W61" s="1058"/>
      <c r="X61" s="1058"/>
      <c r="Y61" s="1058"/>
      <c r="Z61" s="1056"/>
      <c r="AA61" s="1056"/>
      <c r="AB61" s="1056"/>
      <c r="AC61" s="1056"/>
      <c r="AD61" s="1056"/>
      <c r="AE61" s="1057"/>
      <c r="AF61" s="1056"/>
      <c r="AG61" s="1056"/>
      <c r="AH61" s="1056"/>
      <c r="AI61" s="1056"/>
      <c r="AJ61" s="1056"/>
      <c r="AK61" s="1057"/>
      <c r="AL61" s="1056"/>
      <c r="AM61" s="1056"/>
      <c r="AN61" s="1056"/>
      <c r="AO61" s="1056"/>
      <c r="AP61" s="1056"/>
    </row>
    <row r="62" spans="1:42" s="1059" customFormat="1" x14ac:dyDescent="0.3">
      <c r="A62" s="1060"/>
      <c r="B62" s="1060"/>
      <c r="C62" s="1060"/>
      <c r="D62" s="1060"/>
      <c r="E62" s="1060"/>
      <c r="F62" s="1060"/>
      <c r="G62" s="1060"/>
      <c r="H62" s="1061"/>
      <c r="I62" s="1062" t="s">
        <v>736</v>
      </c>
      <c r="J62" s="1060"/>
      <c r="K62" s="1060"/>
      <c r="L62" s="1060"/>
      <c r="M62" s="1061"/>
      <c r="N62" s="1061"/>
      <c r="O62" s="1061"/>
      <c r="P62" s="1061"/>
      <c r="Q62" s="1061"/>
      <c r="R62" s="1060"/>
      <c r="S62" s="1061"/>
      <c r="T62" s="1063"/>
      <c r="U62" s="1063"/>
      <c r="V62" s="1063"/>
      <c r="W62" s="1063"/>
      <c r="X62" s="1063"/>
      <c r="Y62" s="1063"/>
      <c r="Z62" s="1060"/>
      <c r="AA62" s="1060"/>
      <c r="AB62" s="1060"/>
      <c r="AC62" s="1060"/>
      <c r="AD62" s="1060"/>
      <c r="AE62" s="1061"/>
      <c r="AF62" s="1060"/>
      <c r="AG62" s="1060"/>
      <c r="AH62" s="1060"/>
      <c r="AI62" s="1060"/>
      <c r="AJ62" s="1060"/>
      <c r="AK62" s="1061"/>
      <c r="AL62" s="1060"/>
      <c r="AM62" s="1060"/>
      <c r="AN62" s="1060"/>
      <c r="AO62" s="1060"/>
      <c r="AP62" s="1060"/>
    </row>
    <row r="63" spans="1:42" x14ac:dyDescent="0.3">
      <c r="A63" s="1040">
        <v>98</v>
      </c>
      <c r="B63" s="1040">
        <v>75531</v>
      </c>
      <c r="C63" s="1040" t="s">
        <v>558</v>
      </c>
      <c r="D63" s="1040" t="str">
        <f t="shared" si="0"/>
        <v>061901</v>
      </c>
      <c r="E63" s="1040" t="s">
        <v>559</v>
      </c>
      <c r="F63" s="1040" t="str">
        <f>"009"</f>
        <v>009</v>
      </c>
      <c r="H63" s="1041" t="str">
        <f>"48A"</f>
        <v>48A</v>
      </c>
      <c r="I63" s="1040" t="s">
        <v>692</v>
      </c>
      <c r="J63" s="1040">
        <v>409793</v>
      </c>
      <c r="K63" s="1045">
        <v>41409</v>
      </c>
      <c r="L63" s="1040" t="s">
        <v>561</v>
      </c>
      <c r="M63" s="1041">
        <v>2010</v>
      </c>
      <c r="N63" s="1041" t="s">
        <v>562</v>
      </c>
      <c r="O63" s="1041" t="s">
        <v>576</v>
      </c>
      <c r="P63" s="1041" t="s">
        <v>576</v>
      </c>
      <c r="Q63" s="1041" t="s">
        <v>576</v>
      </c>
      <c r="R63" s="1040">
        <v>14</v>
      </c>
      <c r="S63" s="1041">
        <v>1</v>
      </c>
      <c r="T63" s="1042">
        <v>56537</v>
      </c>
      <c r="U63" s="1042">
        <v>7396548</v>
      </c>
      <c r="V63" s="1042">
        <v>1372573</v>
      </c>
      <c r="W63" s="1042"/>
      <c r="X63" s="1042">
        <v>131</v>
      </c>
      <c r="Y63" s="1042">
        <v>24</v>
      </c>
      <c r="Z63" s="1040" t="s">
        <v>563</v>
      </c>
      <c r="AA63" s="1040" t="s">
        <v>714</v>
      </c>
      <c r="AB63" s="1040" t="s">
        <v>565</v>
      </c>
      <c r="AC63" s="1040" t="s">
        <v>566</v>
      </c>
      <c r="AD63" s="1040" t="s">
        <v>737</v>
      </c>
      <c r="AE63" s="1054"/>
      <c r="AF63" s="1040" t="s">
        <v>738</v>
      </c>
      <c r="AG63" s="1040">
        <v>0</v>
      </c>
      <c r="AH63" s="1040" t="s">
        <v>739</v>
      </c>
      <c r="AI63" s="1040" t="s">
        <v>594</v>
      </c>
      <c r="AJ63" s="1040" t="s">
        <v>571</v>
      </c>
      <c r="AK63" s="1041">
        <v>76207</v>
      </c>
      <c r="AL63" s="1040" t="s">
        <v>740</v>
      </c>
      <c r="AM63" s="1040" t="s">
        <v>741</v>
      </c>
      <c r="AN63" s="1040" t="s">
        <v>742</v>
      </c>
      <c r="AO63" s="1040">
        <v>7055000</v>
      </c>
      <c r="AP63" s="1040">
        <v>409793</v>
      </c>
    </row>
    <row r="64" spans="1:42" x14ac:dyDescent="0.3">
      <c r="A64" s="1040">
        <v>98</v>
      </c>
      <c r="B64" s="1040">
        <v>75531</v>
      </c>
      <c r="C64" s="1040" t="s">
        <v>558</v>
      </c>
      <c r="D64" s="1040" t="str">
        <f t="shared" si="0"/>
        <v>061901</v>
      </c>
      <c r="E64" s="1040" t="s">
        <v>559</v>
      </c>
      <c r="F64" s="1040" t="str">
        <f>"009"</f>
        <v>009</v>
      </c>
      <c r="G64" s="1040" t="s">
        <v>736</v>
      </c>
      <c r="H64" s="1041" t="str">
        <f>"999"</f>
        <v>999</v>
      </c>
      <c r="I64" s="1040" t="s">
        <v>586</v>
      </c>
      <c r="J64" s="1040">
        <v>409788</v>
      </c>
      <c r="K64" s="1040"/>
      <c r="L64" s="1040" t="s">
        <v>561</v>
      </c>
      <c r="M64" s="1041"/>
      <c r="N64" s="1041" t="s">
        <v>576</v>
      </c>
      <c r="O64" s="1041" t="s">
        <v>576</v>
      </c>
      <c r="P64" s="1041" t="s">
        <v>576</v>
      </c>
      <c r="Q64" s="1041" t="s">
        <v>576</v>
      </c>
      <c r="R64" s="1040">
        <v>0</v>
      </c>
      <c r="S64" s="1041">
        <v>0</v>
      </c>
      <c r="T64" s="1042"/>
      <c r="U64" s="1042"/>
      <c r="V64" s="1042"/>
      <c r="W64" s="1042">
        <v>198150</v>
      </c>
      <c r="X64" s="1042"/>
      <c r="Y64" s="1042"/>
      <c r="Z64" s="1040"/>
      <c r="AA64" s="1040"/>
      <c r="AB64" s="1040"/>
      <c r="AC64" s="1040"/>
      <c r="AD64" s="1040"/>
      <c r="AE64" s="1041"/>
      <c r="AF64" s="1040"/>
      <c r="AG64" s="1040">
        <v>0</v>
      </c>
      <c r="AH64" s="1040" t="s">
        <v>739</v>
      </c>
      <c r="AI64" s="1040" t="s">
        <v>594</v>
      </c>
      <c r="AJ64" s="1040" t="s">
        <v>571</v>
      </c>
      <c r="AK64" s="1041">
        <v>76207</v>
      </c>
      <c r="AL64" s="1040"/>
      <c r="AM64" s="1040"/>
      <c r="AN64" s="1040" t="s">
        <v>743</v>
      </c>
      <c r="AO64" s="1040">
        <v>0</v>
      </c>
      <c r="AP64" s="1040">
        <v>409788</v>
      </c>
    </row>
    <row r="65" spans="1:42" s="1059" customFormat="1" x14ac:dyDescent="0.3">
      <c r="A65" s="1056"/>
      <c r="B65" s="1056"/>
      <c r="C65" s="1056"/>
      <c r="D65" s="1056"/>
      <c r="E65" s="1056"/>
      <c r="F65" s="1056"/>
      <c r="G65" s="1056"/>
      <c r="H65" s="1057"/>
      <c r="I65" s="1056"/>
      <c r="J65" s="1056"/>
      <c r="K65" s="1056"/>
      <c r="L65" s="1056"/>
      <c r="M65" s="1057"/>
      <c r="N65" s="1057"/>
      <c r="O65" s="1057"/>
      <c r="P65" s="1057"/>
      <c r="Q65" s="1057"/>
      <c r="R65" s="1056"/>
      <c r="S65" s="1057"/>
      <c r="T65" s="1058"/>
      <c r="U65" s="1058"/>
      <c r="V65" s="1058"/>
      <c r="W65" s="1058"/>
      <c r="X65" s="1058"/>
      <c r="Y65" s="1058"/>
      <c r="Z65" s="1056"/>
      <c r="AA65" s="1056"/>
      <c r="AB65" s="1056"/>
      <c r="AC65" s="1056"/>
      <c r="AD65" s="1056"/>
      <c r="AE65" s="1057"/>
      <c r="AF65" s="1056"/>
      <c r="AG65" s="1056"/>
      <c r="AH65" s="1056"/>
      <c r="AI65" s="1056"/>
      <c r="AJ65" s="1056"/>
      <c r="AK65" s="1057"/>
      <c r="AL65" s="1056"/>
      <c r="AM65" s="1056"/>
      <c r="AN65" s="1056"/>
      <c r="AO65" s="1056"/>
      <c r="AP65" s="1056"/>
    </row>
    <row r="66" spans="1:42" s="1059" customFormat="1" x14ac:dyDescent="0.3">
      <c r="A66" s="1060"/>
      <c r="B66" s="1060"/>
      <c r="C66" s="1060"/>
      <c r="D66" s="1060"/>
      <c r="E66" s="1060"/>
      <c r="F66" s="1060"/>
      <c r="G66" s="1060"/>
      <c r="H66" s="1061"/>
      <c r="I66" s="1062" t="s">
        <v>744</v>
      </c>
      <c r="J66" s="1060"/>
      <c r="K66" s="1060"/>
      <c r="L66" s="1060"/>
      <c r="M66" s="1061"/>
      <c r="N66" s="1061"/>
      <c r="O66" s="1061"/>
      <c r="P66" s="1061"/>
      <c r="Q66" s="1061"/>
      <c r="R66" s="1060"/>
      <c r="S66" s="1061"/>
      <c r="T66" s="1063"/>
      <c r="U66" s="1063"/>
      <c r="V66" s="1063"/>
      <c r="W66" s="1063"/>
      <c r="X66" s="1063"/>
      <c r="Y66" s="1063"/>
      <c r="Z66" s="1060"/>
      <c r="AA66" s="1060"/>
      <c r="AB66" s="1060"/>
      <c r="AC66" s="1060"/>
      <c r="AD66" s="1060"/>
      <c r="AE66" s="1061"/>
      <c r="AF66" s="1060"/>
      <c r="AG66" s="1060"/>
      <c r="AH66" s="1060"/>
      <c r="AI66" s="1060"/>
      <c r="AJ66" s="1060"/>
      <c r="AK66" s="1061"/>
      <c r="AL66" s="1060"/>
      <c r="AM66" s="1060"/>
      <c r="AN66" s="1060"/>
      <c r="AO66" s="1060"/>
      <c r="AP66" s="1060"/>
    </row>
    <row r="67" spans="1:42" x14ac:dyDescent="0.3">
      <c r="A67" s="1040">
        <v>98</v>
      </c>
      <c r="B67" s="1040">
        <v>75531</v>
      </c>
      <c r="C67" s="1040" t="s">
        <v>558</v>
      </c>
      <c r="D67" s="1040" t="str">
        <f t="shared" si="0"/>
        <v>061901</v>
      </c>
      <c r="E67" s="1040" t="s">
        <v>559</v>
      </c>
      <c r="F67" s="1040" t="str">
        <f>"010"</f>
        <v>010</v>
      </c>
      <c r="H67" s="1041" t="str">
        <f>"22A"</f>
        <v>22A</v>
      </c>
      <c r="I67" s="1040" t="s">
        <v>745</v>
      </c>
      <c r="J67" s="1040">
        <v>409574</v>
      </c>
      <c r="K67" s="1045">
        <v>41410</v>
      </c>
      <c r="L67" s="1040" t="s">
        <v>561</v>
      </c>
      <c r="M67" s="1041">
        <v>1972</v>
      </c>
      <c r="N67" s="1041" t="s">
        <v>562</v>
      </c>
      <c r="O67" s="1041" t="s">
        <v>562</v>
      </c>
      <c r="P67" s="1041" t="s">
        <v>562</v>
      </c>
      <c r="Q67" s="1041" t="s">
        <v>576</v>
      </c>
      <c r="R67" s="1040">
        <v>12</v>
      </c>
      <c r="S67" s="1041">
        <v>1</v>
      </c>
      <c r="T67" s="1042">
        <v>8089</v>
      </c>
      <c r="U67" s="1042">
        <v>1071477</v>
      </c>
      <c r="V67" s="1042">
        <v>342377</v>
      </c>
      <c r="W67" s="1042"/>
      <c r="X67" s="1042">
        <v>132</v>
      </c>
      <c r="Y67" s="1042">
        <v>42</v>
      </c>
      <c r="Z67" s="1040" t="s">
        <v>563</v>
      </c>
      <c r="AA67" s="1040" t="s">
        <v>746</v>
      </c>
      <c r="AB67" s="1040" t="s">
        <v>637</v>
      </c>
      <c r="AC67" s="1040" t="s">
        <v>638</v>
      </c>
      <c r="AD67" s="1040" t="s">
        <v>581</v>
      </c>
      <c r="AE67" s="1054"/>
      <c r="AF67" s="1040" t="s">
        <v>747</v>
      </c>
      <c r="AG67" s="1040">
        <v>0</v>
      </c>
      <c r="AH67" s="1040" t="s">
        <v>748</v>
      </c>
      <c r="AI67" s="1040" t="s">
        <v>594</v>
      </c>
      <c r="AJ67" s="1040" t="s">
        <v>571</v>
      </c>
      <c r="AK67" s="1041">
        <v>76201</v>
      </c>
      <c r="AL67" s="1040" t="s">
        <v>749</v>
      </c>
      <c r="AM67" s="1040" t="s">
        <v>750</v>
      </c>
      <c r="AN67" s="1040" t="s">
        <v>751</v>
      </c>
      <c r="AO67" s="1040">
        <v>1022000</v>
      </c>
      <c r="AP67" s="1040">
        <v>409574</v>
      </c>
    </row>
    <row r="68" spans="1:42" x14ac:dyDescent="0.3">
      <c r="A68" s="1040">
        <v>98</v>
      </c>
      <c r="B68" s="1040">
        <v>75531</v>
      </c>
      <c r="C68" s="1040" t="s">
        <v>558</v>
      </c>
      <c r="D68" s="1040" t="str">
        <f t="shared" si="0"/>
        <v>061901</v>
      </c>
      <c r="E68" s="1040" t="s">
        <v>559</v>
      </c>
      <c r="F68" s="1040" t="str">
        <f>"010"</f>
        <v>010</v>
      </c>
      <c r="G68" s="1040" t="s">
        <v>744</v>
      </c>
      <c r="H68" s="1041" t="str">
        <f>"999"</f>
        <v>999</v>
      </c>
      <c r="I68" s="1040" t="s">
        <v>586</v>
      </c>
      <c r="J68" s="1040">
        <v>409782</v>
      </c>
      <c r="K68" s="1040"/>
      <c r="L68" s="1040" t="s">
        <v>561</v>
      </c>
      <c r="M68" s="1041"/>
      <c r="N68" s="1041" t="s">
        <v>576</v>
      </c>
      <c r="O68" s="1041" t="s">
        <v>576</v>
      </c>
      <c r="P68" s="1041" t="s">
        <v>576</v>
      </c>
      <c r="Q68" s="1041" t="s">
        <v>576</v>
      </c>
      <c r="R68" s="1040">
        <v>0</v>
      </c>
      <c r="S68" s="1041">
        <v>0</v>
      </c>
      <c r="T68" s="1042"/>
      <c r="U68" s="1042"/>
      <c r="V68" s="1042"/>
      <c r="W68" s="1042">
        <v>7339</v>
      </c>
      <c r="X68" s="1042"/>
      <c r="Y68" s="1042"/>
      <c r="Z68" s="1040"/>
      <c r="AA68" s="1040"/>
      <c r="AB68" s="1040"/>
      <c r="AC68" s="1040"/>
      <c r="AD68" s="1040"/>
      <c r="AE68" s="1041"/>
      <c r="AF68" s="1040"/>
      <c r="AG68" s="1040">
        <v>0</v>
      </c>
      <c r="AH68" s="1040" t="s">
        <v>748</v>
      </c>
      <c r="AI68" s="1040" t="s">
        <v>594</v>
      </c>
      <c r="AJ68" s="1040" t="s">
        <v>571</v>
      </c>
      <c r="AK68" s="1041">
        <v>76201</v>
      </c>
      <c r="AL68" s="1040"/>
      <c r="AM68" s="1040"/>
      <c r="AN68" s="1040"/>
      <c r="AO68" s="1040">
        <v>0</v>
      </c>
      <c r="AP68" s="1040">
        <v>409782</v>
      </c>
    </row>
    <row r="69" spans="1:42" s="1059" customFormat="1" x14ac:dyDescent="0.3">
      <c r="A69" s="1056"/>
      <c r="B69" s="1056"/>
      <c r="C69" s="1056"/>
      <c r="D69" s="1056"/>
      <c r="E69" s="1056"/>
      <c r="F69" s="1056"/>
      <c r="G69" s="1056"/>
      <c r="H69" s="1057"/>
      <c r="I69" s="1056"/>
      <c r="J69" s="1056"/>
      <c r="K69" s="1056"/>
      <c r="L69" s="1056"/>
      <c r="M69" s="1057"/>
      <c r="N69" s="1057"/>
      <c r="O69" s="1057"/>
      <c r="P69" s="1057"/>
      <c r="Q69" s="1057"/>
      <c r="R69" s="1056"/>
      <c r="S69" s="1057"/>
      <c r="T69" s="1058"/>
      <c r="U69" s="1058"/>
      <c r="V69" s="1058"/>
      <c r="W69" s="1058"/>
      <c r="X69" s="1058"/>
      <c r="Y69" s="1058"/>
      <c r="Z69" s="1056"/>
      <c r="AA69" s="1056"/>
      <c r="AB69" s="1056"/>
      <c r="AC69" s="1056"/>
      <c r="AD69" s="1056"/>
      <c r="AE69" s="1057"/>
      <c r="AF69" s="1056"/>
      <c r="AG69" s="1056"/>
      <c r="AH69" s="1056"/>
      <c r="AI69" s="1056"/>
      <c r="AJ69" s="1056"/>
      <c r="AK69" s="1057"/>
      <c r="AL69" s="1056"/>
      <c r="AM69" s="1056"/>
      <c r="AN69" s="1056"/>
      <c r="AO69" s="1056"/>
      <c r="AP69" s="1056"/>
    </row>
    <row r="70" spans="1:42" s="1059" customFormat="1" x14ac:dyDescent="0.3">
      <c r="A70" s="1060"/>
      <c r="B70" s="1060"/>
      <c r="C70" s="1060"/>
      <c r="D70" s="1060"/>
      <c r="E70" s="1060"/>
      <c r="F70" s="1060"/>
      <c r="G70" s="1060"/>
      <c r="H70" s="1061"/>
      <c r="I70" s="1062" t="s">
        <v>752</v>
      </c>
      <c r="J70" s="1060"/>
      <c r="K70" s="1060"/>
      <c r="L70" s="1060"/>
      <c r="M70" s="1061"/>
      <c r="N70" s="1061"/>
      <c r="O70" s="1061"/>
      <c r="P70" s="1061"/>
      <c r="Q70" s="1061"/>
      <c r="R70" s="1060"/>
      <c r="S70" s="1061"/>
      <c r="T70" s="1063"/>
      <c r="U70" s="1063"/>
      <c r="V70" s="1063"/>
      <c r="W70" s="1063"/>
      <c r="X70" s="1063"/>
      <c r="Y70" s="1063"/>
      <c r="Z70" s="1060"/>
      <c r="AA70" s="1060"/>
      <c r="AB70" s="1060"/>
      <c r="AC70" s="1060"/>
      <c r="AD70" s="1060"/>
      <c r="AE70" s="1061"/>
      <c r="AF70" s="1060"/>
      <c r="AG70" s="1060"/>
      <c r="AH70" s="1060"/>
      <c r="AI70" s="1060"/>
      <c r="AJ70" s="1060"/>
      <c r="AK70" s="1061"/>
      <c r="AL70" s="1060"/>
      <c r="AM70" s="1060"/>
      <c r="AN70" s="1060"/>
      <c r="AO70" s="1060"/>
      <c r="AP70" s="1060"/>
    </row>
    <row r="71" spans="1:42" x14ac:dyDescent="0.3">
      <c r="A71" s="1040">
        <v>98</v>
      </c>
      <c r="B71" s="1040">
        <v>75531</v>
      </c>
      <c r="C71" s="1040" t="s">
        <v>558</v>
      </c>
      <c r="D71" s="1040" t="str">
        <f t="shared" si="0"/>
        <v>061901</v>
      </c>
      <c r="E71" s="1040" t="s">
        <v>559</v>
      </c>
      <c r="F71" s="1040" t="str">
        <f>"011"</f>
        <v>011</v>
      </c>
      <c r="H71" s="1041" t="str">
        <f>"23A"</f>
        <v>23A</v>
      </c>
      <c r="I71" s="1040" t="s">
        <v>753</v>
      </c>
      <c r="J71" s="1040">
        <v>409570</v>
      </c>
      <c r="K71" s="1045">
        <v>41410</v>
      </c>
      <c r="L71" s="1040" t="s">
        <v>561</v>
      </c>
      <c r="M71" s="1041">
        <v>1972</v>
      </c>
      <c r="N71" s="1041" t="s">
        <v>562</v>
      </c>
      <c r="O71" s="1041" t="s">
        <v>576</v>
      </c>
      <c r="P71" s="1041" t="s">
        <v>576</v>
      </c>
      <c r="Q71" s="1041" t="s">
        <v>576</v>
      </c>
      <c r="R71" s="1040">
        <v>12</v>
      </c>
      <c r="S71" s="1041">
        <v>1</v>
      </c>
      <c r="T71" s="1042">
        <v>7636</v>
      </c>
      <c r="U71" s="1042">
        <v>1140673</v>
      </c>
      <c r="V71" s="1042">
        <v>161479</v>
      </c>
      <c r="W71" s="1042"/>
      <c r="X71" s="1042">
        <v>149</v>
      </c>
      <c r="Y71" s="1042">
        <v>21</v>
      </c>
      <c r="Z71" s="1040" t="s">
        <v>563</v>
      </c>
      <c r="AA71" s="1040" t="s">
        <v>746</v>
      </c>
      <c r="AB71" s="1040" t="s">
        <v>565</v>
      </c>
      <c r="AC71" s="1040" t="s">
        <v>566</v>
      </c>
      <c r="AD71" s="1040" t="s">
        <v>591</v>
      </c>
      <c r="AE71" s="1055"/>
      <c r="AF71" s="1040" t="s">
        <v>754</v>
      </c>
      <c r="AG71" s="1040">
        <v>0</v>
      </c>
      <c r="AH71" s="1040" t="s">
        <v>755</v>
      </c>
      <c r="AI71" s="1040" t="s">
        <v>594</v>
      </c>
      <c r="AJ71" s="1040" t="s">
        <v>571</v>
      </c>
      <c r="AK71" s="1041">
        <v>76201</v>
      </c>
      <c r="AL71" s="1040" t="s">
        <v>749</v>
      </c>
      <c r="AM71" s="1040" t="s">
        <v>756</v>
      </c>
      <c r="AN71" s="1040" t="s">
        <v>602</v>
      </c>
      <c r="AO71" s="1040">
        <v>1088000</v>
      </c>
      <c r="AP71" s="1040">
        <v>409570</v>
      </c>
    </row>
    <row r="72" spans="1:42" x14ac:dyDescent="0.3">
      <c r="A72" s="1040">
        <v>98</v>
      </c>
      <c r="B72" s="1040">
        <v>75531</v>
      </c>
      <c r="C72" s="1040" t="s">
        <v>558</v>
      </c>
      <c r="D72" s="1040" t="str">
        <f t="shared" si="0"/>
        <v>061901</v>
      </c>
      <c r="E72" s="1040" t="s">
        <v>559</v>
      </c>
      <c r="F72" s="1040" t="str">
        <f>"011"</f>
        <v>011</v>
      </c>
      <c r="G72" s="1040" t="s">
        <v>752</v>
      </c>
      <c r="H72" s="1041" t="str">
        <f>"999"</f>
        <v>999</v>
      </c>
      <c r="I72" s="1040" t="s">
        <v>586</v>
      </c>
      <c r="J72" s="1040">
        <v>409779</v>
      </c>
      <c r="K72" s="1040"/>
      <c r="L72" s="1040" t="s">
        <v>561</v>
      </c>
      <c r="M72" s="1041"/>
      <c r="N72" s="1041" t="s">
        <v>576</v>
      </c>
      <c r="O72" s="1041" t="s">
        <v>576</v>
      </c>
      <c r="P72" s="1041" t="s">
        <v>576</v>
      </c>
      <c r="Q72" s="1041" t="s">
        <v>576</v>
      </c>
      <c r="R72" s="1040">
        <v>0</v>
      </c>
      <c r="S72" s="1041">
        <v>0</v>
      </c>
      <c r="T72" s="1042"/>
      <c r="U72" s="1042"/>
      <c r="V72" s="1042"/>
      <c r="W72" s="1042">
        <v>1046</v>
      </c>
      <c r="X72" s="1042"/>
      <c r="Y72" s="1042"/>
      <c r="Z72" s="1040"/>
      <c r="AA72" s="1040"/>
      <c r="AB72" s="1040"/>
      <c r="AC72" s="1040"/>
      <c r="AD72" s="1040"/>
      <c r="AE72" s="1041"/>
      <c r="AF72" s="1040"/>
      <c r="AG72" s="1040">
        <v>0</v>
      </c>
      <c r="AH72" s="1040" t="s">
        <v>755</v>
      </c>
      <c r="AI72" s="1040" t="s">
        <v>594</v>
      </c>
      <c r="AJ72" s="1040" t="s">
        <v>571</v>
      </c>
      <c r="AK72" s="1041">
        <v>76201</v>
      </c>
      <c r="AL72" s="1040"/>
      <c r="AM72" s="1040"/>
      <c r="AN72" s="1040"/>
      <c r="AO72" s="1040">
        <v>0</v>
      </c>
      <c r="AP72" s="1040">
        <v>409779</v>
      </c>
    </row>
    <row r="73" spans="1:42" s="1059" customFormat="1" x14ac:dyDescent="0.3">
      <c r="A73" s="1056"/>
      <c r="B73" s="1056"/>
      <c r="C73" s="1056"/>
      <c r="D73" s="1056"/>
      <c r="E73" s="1056"/>
      <c r="F73" s="1056"/>
      <c r="G73" s="1056"/>
      <c r="H73" s="1057"/>
      <c r="I73" s="1056"/>
      <c r="J73" s="1056"/>
      <c r="K73" s="1056"/>
      <c r="L73" s="1056"/>
      <c r="M73" s="1057"/>
      <c r="N73" s="1057"/>
      <c r="O73" s="1057"/>
      <c r="P73" s="1057"/>
      <c r="Q73" s="1057"/>
      <c r="R73" s="1056"/>
      <c r="S73" s="1057"/>
      <c r="T73" s="1058"/>
      <c r="U73" s="1058"/>
      <c r="V73" s="1058"/>
      <c r="W73" s="1058"/>
      <c r="X73" s="1058"/>
      <c r="Y73" s="1058"/>
      <c r="Z73" s="1056"/>
      <c r="AA73" s="1056"/>
      <c r="AB73" s="1056"/>
      <c r="AC73" s="1056"/>
      <c r="AD73" s="1056"/>
      <c r="AE73" s="1057"/>
      <c r="AF73" s="1056"/>
      <c r="AG73" s="1056"/>
      <c r="AH73" s="1056"/>
      <c r="AI73" s="1056"/>
      <c r="AJ73" s="1056"/>
      <c r="AK73" s="1057"/>
      <c r="AL73" s="1056"/>
      <c r="AM73" s="1056"/>
      <c r="AN73" s="1056"/>
      <c r="AO73" s="1056"/>
      <c r="AP73" s="1056"/>
    </row>
    <row r="74" spans="1:42" s="1059" customFormat="1" x14ac:dyDescent="0.3">
      <c r="A74" s="1060"/>
      <c r="B74" s="1060"/>
      <c r="C74" s="1060"/>
      <c r="D74" s="1060"/>
      <c r="E74" s="1060"/>
      <c r="F74" s="1060"/>
      <c r="G74" s="1060"/>
      <c r="H74" s="1061"/>
      <c r="I74" s="1062" t="s">
        <v>757</v>
      </c>
      <c r="J74" s="1060"/>
      <c r="K74" s="1060"/>
      <c r="L74" s="1060"/>
      <c r="M74" s="1061"/>
      <c r="N74" s="1061"/>
      <c r="O74" s="1061"/>
      <c r="P74" s="1061"/>
      <c r="Q74" s="1061"/>
      <c r="R74" s="1060"/>
      <c r="S74" s="1061"/>
      <c r="T74" s="1063"/>
      <c r="U74" s="1063"/>
      <c r="V74" s="1063"/>
      <c r="W74" s="1063"/>
      <c r="X74" s="1063"/>
      <c r="Y74" s="1063"/>
      <c r="Z74" s="1060"/>
      <c r="AA74" s="1060"/>
      <c r="AB74" s="1060"/>
      <c r="AC74" s="1060"/>
      <c r="AD74" s="1060"/>
      <c r="AE74" s="1061"/>
      <c r="AF74" s="1060"/>
      <c r="AG74" s="1060"/>
      <c r="AH74" s="1060"/>
      <c r="AI74" s="1060"/>
      <c r="AJ74" s="1060"/>
      <c r="AK74" s="1061"/>
      <c r="AL74" s="1060"/>
      <c r="AM74" s="1060"/>
      <c r="AN74" s="1060"/>
      <c r="AO74" s="1060"/>
      <c r="AP74" s="1060"/>
    </row>
    <row r="75" spans="1:42" x14ac:dyDescent="0.3">
      <c r="A75" s="1040">
        <v>98</v>
      </c>
      <c r="B75" s="1040">
        <v>75531</v>
      </c>
      <c r="C75" s="1040" t="s">
        <v>558</v>
      </c>
      <c r="D75" s="1040" t="str">
        <f t="shared" si="0"/>
        <v>061901</v>
      </c>
      <c r="E75" s="1040" t="s">
        <v>559</v>
      </c>
      <c r="F75" s="1040" t="str">
        <f>"012"</f>
        <v>012</v>
      </c>
      <c r="H75" s="1041" t="str">
        <f>"88A"</f>
        <v>88A</v>
      </c>
      <c r="I75" s="1040" t="s">
        <v>758</v>
      </c>
      <c r="J75" s="1040">
        <v>409576</v>
      </c>
      <c r="K75" s="1045">
        <v>41410</v>
      </c>
      <c r="L75" s="1040" t="s">
        <v>561</v>
      </c>
      <c r="M75" s="1041">
        <v>1960</v>
      </c>
      <c r="N75" s="1041" t="s">
        <v>562</v>
      </c>
      <c r="O75" s="1041" t="s">
        <v>576</v>
      </c>
      <c r="P75" s="1041" t="s">
        <v>576</v>
      </c>
      <c r="Q75" s="1041" t="s">
        <v>576</v>
      </c>
      <c r="R75" s="1040">
        <v>10</v>
      </c>
      <c r="S75" s="1041">
        <v>1</v>
      </c>
      <c r="T75" s="1042">
        <v>4092</v>
      </c>
      <c r="U75" s="1042">
        <v>422510</v>
      </c>
      <c r="V75" s="1042">
        <v>86872</v>
      </c>
      <c r="W75" s="1042"/>
      <c r="X75" s="1042">
        <v>103</v>
      </c>
      <c r="Y75" s="1042">
        <v>21</v>
      </c>
      <c r="Z75" s="1040" t="s">
        <v>577</v>
      </c>
      <c r="AA75" s="1040" t="s">
        <v>759</v>
      </c>
      <c r="AB75" s="1040" t="s">
        <v>760</v>
      </c>
      <c r="AC75" s="1040" t="s">
        <v>761</v>
      </c>
      <c r="AD75" s="1040" t="s">
        <v>581</v>
      </c>
      <c r="AE75" s="1054"/>
      <c r="AF75" s="1040" t="s">
        <v>582</v>
      </c>
      <c r="AG75" s="1040">
        <v>0</v>
      </c>
      <c r="AH75" s="1040" t="s">
        <v>762</v>
      </c>
      <c r="AI75" s="1040" t="s">
        <v>594</v>
      </c>
      <c r="AJ75" s="1040" t="s">
        <v>571</v>
      </c>
      <c r="AK75" s="1041">
        <v>76201</v>
      </c>
      <c r="AL75" s="1040" t="s">
        <v>763</v>
      </c>
      <c r="AM75" s="1040" t="s">
        <v>764</v>
      </c>
      <c r="AN75" s="1040" t="s">
        <v>732</v>
      </c>
      <c r="AO75" s="1040">
        <v>403000</v>
      </c>
      <c r="AP75" s="1040">
        <v>409576</v>
      </c>
    </row>
    <row r="76" spans="1:42" x14ac:dyDescent="0.3">
      <c r="A76" s="1040">
        <v>98</v>
      </c>
      <c r="B76" s="1040">
        <v>75531</v>
      </c>
      <c r="C76" s="1040" t="s">
        <v>558</v>
      </c>
      <c r="D76" s="1040" t="str">
        <f t="shared" si="0"/>
        <v>061901</v>
      </c>
      <c r="E76" s="1040" t="s">
        <v>559</v>
      </c>
      <c r="F76" s="1040" t="str">
        <f>"012"</f>
        <v>012</v>
      </c>
      <c r="G76" s="1040" t="s">
        <v>757</v>
      </c>
      <c r="H76" s="1041" t="str">
        <f>"88B"</f>
        <v>88B</v>
      </c>
      <c r="I76" s="1040" t="s">
        <v>765</v>
      </c>
      <c r="J76" s="1040">
        <v>409577</v>
      </c>
      <c r="K76" s="1045">
        <v>41410</v>
      </c>
      <c r="L76" s="1040" t="s">
        <v>561</v>
      </c>
      <c r="M76" s="1041">
        <v>1960</v>
      </c>
      <c r="N76" s="1041" t="s">
        <v>576</v>
      </c>
      <c r="O76" s="1041" t="s">
        <v>576</v>
      </c>
      <c r="P76" s="1041" t="s">
        <v>576</v>
      </c>
      <c r="Q76" s="1041" t="s">
        <v>576</v>
      </c>
      <c r="R76" s="1040">
        <v>10</v>
      </c>
      <c r="S76" s="1041">
        <v>1</v>
      </c>
      <c r="T76" s="1042">
        <v>2225</v>
      </c>
      <c r="U76" s="1042">
        <v>171939</v>
      </c>
      <c r="V76" s="1042">
        <v>29639</v>
      </c>
      <c r="W76" s="1042"/>
      <c r="X76" s="1042">
        <v>77</v>
      </c>
      <c r="Y76" s="1042">
        <v>13</v>
      </c>
      <c r="Z76" s="1040" t="s">
        <v>577</v>
      </c>
      <c r="AA76" s="1040" t="s">
        <v>615</v>
      </c>
      <c r="AB76" s="1040" t="s">
        <v>606</v>
      </c>
      <c r="AC76" s="1040" t="s">
        <v>606</v>
      </c>
      <c r="AD76" s="1040" t="s">
        <v>643</v>
      </c>
      <c r="AE76" s="1055"/>
      <c r="AF76" s="1040" t="s">
        <v>582</v>
      </c>
      <c r="AG76" s="1040">
        <v>0</v>
      </c>
      <c r="AH76" s="1040" t="s">
        <v>762</v>
      </c>
      <c r="AI76" s="1040" t="s">
        <v>594</v>
      </c>
      <c r="AJ76" s="1040" t="s">
        <v>571</v>
      </c>
      <c r="AK76" s="1041">
        <v>76201</v>
      </c>
      <c r="AL76" s="1040" t="s">
        <v>766</v>
      </c>
      <c r="AM76" s="1040" t="s">
        <v>767</v>
      </c>
      <c r="AN76" s="1040" t="s">
        <v>732</v>
      </c>
      <c r="AO76" s="1040">
        <v>164000</v>
      </c>
      <c r="AP76" s="1040">
        <v>409577</v>
      </c>
    </row>
    <row r="77" spans="1:42" x14ac:dyDescent="0.3">
      <c r="A77" s="1040">
        <v>98</v>
      </c>
      <c r="B77" s="1040">
        <v>75531</v>
      </c>
      <c r="C77" s="1040" t="s">
        <v>558</v>
      </c>
      <c r="D77" s="1040" t="str">
        <f t="shared" si="0"/>
        <v>061901</v>
      </c>
      <c r="E77" s="1040" t="s">
        <v>559</v>
      </c>
      <c r="F77" s="1040" t="str">
        <f>"012"</f>
        <v>012</v>
      </c>
      <c r="G77" s="1040" t="s">
        <v>757</v>
      </c>
      <c r="H77" s="1041" t="str">
        <f>"999"</f>
        <v>999</v>
      </c>
      <c r="I77" s="1040" t="s">
        <v>586</v>
      </c>
      <c r="J77" s="1040">
        <v>409784</v>
      </c>
      <c r="K77" s="1040"/>
      <c r="L77" s="1040" t="s">
        <v>561</v>
      </c>
      <c r="M77" s="1041"/>
      <c r="N77" s="1041" t="s">
        <v>576</v>
      </c>
      <c r="O77" s="1041" t="s">
        <v>576</v>
      </c>
      <c r="P77" s="1041" t="s">
        <v>576</v>
      </c>
      <c r="Q77" s="1041" t="s">
        <v>576</v>
      </c>
      <c r="R77" s="1040">
        <v>0</v>
      </c>
      <c r="S77" s="1041">
        <v>0</v>
      </c>
      <c r="T77" s="1042"/>
      <c r="U77" s="1042"/>
      <c r="V77" s="1042"/>
      <c r="W77" s="1042">
        <v>1046</v>
      </c>
      <c r="X77" s="1042"/>
      <c r="Y77" s="1042"/>
      <c r="Z77" s="1040"/>
      <c r="AA77" s="1040"/>
      <c r="AB77" s="1040"/>
      <c r="AC77" s="1040"/>
      <c r="AD77" s="1040"/>
      <c r="AE77" s="1041"/>
      <c r="AF77" s="1040"/>
      <c r="AG77" s="1040">
        <v>0</v>
      </c>
      <c r="AH77" s="1040" t="s">
        <v>762</v>
      </c>
      <c r="AI77" s="1040" t="s">
        <v>594</v>
      </c>
      <c r="AJ77" s="1040" t="s">
        <v>571</v>
      </c>
      <c r="AK77" s="1041">
        <v>76201</v>
      </c>
      <c r="AL77" s="1040"/>
      <c r="AM77" s="1040"/>
      <c r="AN77" s="1040" t="s">
        <v>732</v>
      </c>
      <c r="AO77" s="1040">
        <v>0</v>
      </c>
      <c r="AP77" s="1040">
        <v>409784</v>
      </c>
    </row>
    <row r="78" spans="1:42" s="1059" customFormat="1" x14ac:dyDescent="0.3">
      <c r="A78" s="1056"/>
      <c r="B78" s="1056"/>
      <c r="C78" s="1056"/>
      <c r="D78" s="1056"/>
      <c r="E78" s="1056"/>
      <c r="F78" s="1056"/>
      <c r="G78" s="1056"/>
      <c r="H78" s="1057"/>
      <c r="I78" s="1056"/>
      <c r="J78" s="1056"/>
      <c r="K78" s="1056"/>
      <c r="L78" s="1056"/>
      <c r="M78" s="1057"/>
      <c r="N78" s="1057"/>
      <c r="O78" s="1057"/>
      <c r="P78" s="1057"/>
      <c r="Q78" s="1057"/>
      <c r="R78" s="1056"/>
      <c r="S78" s="1057"/>
      <c r="T78" s="1058"/>
      <c r="U78" s="1058"/>
      <c r="V78" s="1058"/>
      <c r="W78" s="1058"/>
      <c r="X78" s="1058"/>
      <c r="Y78" s="1058"/>
      <c r="Z78" s="1056"/>
      <c r="AA78" s="1056"/>
      <c r="AB78" s="1056"/>
      <c r="AC78" s="1056"/>
      <c r="AD78" s="1056"/>
      <c r="AE78" s="1057"/>
      <c r="AF78" s="1056"/>
      <c r="AG78" s="1056"/>
      <c r="AH78" s="1056"/>
      <c r="AI78" s="1056"/>
      <c r="AJ78" s="1056"/>
      <c r="AK78" s="1057"/>
      <c r="AL78" s="1056"/>
      <c r="AM78" s="1056"/>
      <c r="AN78" s="1056"/>
      <c r="AO78" s="1056"/>
      <c r="AP78" s="1056"/>
    </row>
    <row r="79" spans="1:42" s="1059" customFormat="1" x14ac:dyDescent="0.3">
      <c r="A79" s="1060"/>
      <c r="B79" s="1060"/>
      <c r="C79" s="1060"/>
      <c r="D79" s="1060"/>
      <c r="E79" s="1060"/>
      <c r="F79" s="1060"/>
      <c r="G79" s="1060"/>
      <c r="H79" s="1061"/>
      <c r="I79" s="1062" t="s">
        <v>768</v>
      </c>
      <c r="J79" s="1060"/>
      <c r="K79" s="1060"/>
      <c r="L79" s="1060"/>
      <c r="M79" s="1061"/>
      <c r="N79" s="1061"/>
      <c r="O79" s="1061"/>
      <c r="P79" s="1061"/>
      <c r="Q79" s="1061"/>
      <c r="R79" s="1060"/>
      <c r="S79" s="1061"/>
      <c r="T79" s="1063"/>
      <c r="U79" s="1063"/>
      <c r="V79" s="1063"/>
      <c r="W79" s="1063"/>
      <c r="X79" s="1063"/>
      <c r="Y79" s="1063"/>
      <c r="Z79" s="1060"/>
      <c r="AA79" s="1060"/>
      <c r="AB79" s="1060"/>
      <c r="AC79" s="1060"/>
      <c r="AD79" s="1060"/>
      <c r="AE79" s="1061"/>
      <c r="AF79" s="1060"/>
      <c r="AG79" s="1060"/>
      <c r="AH79" s="1060"/>
      <c r="AI79" s="1060"/>
      <c r="AJ79" s="1060"/>
      <c r="AK79" s="1061"/>
      <c r="AL79" s="1060"/>
      <c r="AM79" s="1060"/>
      <c r="AN79" s="1060"/>
      <c r="AO79" s="1060"/>
      <c r="AP79" s="1060"/>
    </row>
    <row r="80" spans="1:42" x14ac:dyDescent="0.3">
      <c r="A80" s="1040">
        <v>98</v>
      </c>
      <c r="B80" s="1040">
        <v>75531</v>
      </c>
      <c r="C80" s="1040" t="s">
        <v>558</v>
      </c>
      <c r="D80" s="1040" t="str">
        <f t="shared" si="0"/>
        <v>061901</v>
      </c>
      <c r="E80" s="1040" t="s">
        <v>559</v>
      </c>
      <c r="F80" s="1040" t="str">
        <f t="shared" ref="F80:F86" si="2">"013"</f>
        <v>013</v>
      </c>
      <c r="H80" s="1041" t="str">
        <f>"10A"</f>
        <v>10A</v>
      </c>
      <c r="I80" s="1040" t="s">
        <v>560</v>
      </c>
      <c r="J80" s="1040">
        <v>409519</v>
      </c>
      <c r="K80" s="1045">
        <v>41402</v>
      </c>
      <c r="L80" s="1040" t="s">
        <v>561</v>
      </c>
      <c r="M80" s="1041">
        <v>1960</v>
      </c>
      <c r="N80" s="1041" t="s">
        <v>562</v>
      </c>
      <c r="O80" s="1041" t="s">
        <v>562</v>
      </c>
      <c r="P80" s="1041" t="s">
        <v>562</v>
      </c>
      <c r="Q80" s="1041" t="s">
        <v>562</v>
      </c>
      <c r="R80" s="1040">
        <v>14</v>
      </c>
      <c r="S80" s="1041">
        <v>1</v>
      </c>
      <c r="T80" s="1042">
        <v>83591</v>
      </c>
      <c r="U80" s="1042">
        <v>12730869</v>
      </c>
      <c r="V80" s="1042">
        <v>2029732</v>
      </c>
      <c r="W80" s="1042"/>
      <c r="X80" s="1042">
        <v>152</v>
      </c>
      <c r="Y80" s="1042">
        <v>24</v>
      </c>
      <c r="Z80" s="1040" t="s">
        <v>563</v>
      </c>
      <c r="AA80" s="1040" t="s">
        <v>693</v>
      </c>
      <c r="AB80" s="1040" t="s">
        <v>565</v>
      </c>
      <c r="AC80" s="1040" t="s">
        <v>566</v>
      </c>
      <c r="AD80" s="1040" t="s">
        <v>591</v>
      </c>
      <c r="AE80" s="1055"/>
      <c r="AF80" s="1040" t="s">
        <v>592</v>
      </c>
      <c r="AG80" s="1040">
        <v>0</v>
      </c>
      <c r="AH80" s="1040" t="s">
        <v>769</v>
      </c>
      <c r="AI80" s="1040" t="s">
        <v>594</v>
      </c>
      <c r="AJ80" s="1040" t="s">
        <v>571</v>
      </c>
      <c r="AK80" s="1041">
        <v>76209</v>
      </c>
      <c r="AL80" s="1040" t="s">
        <v>770</v>
      </c>
      <c r="AM80" s="1040" t="s">
        <v>771</v>
      </c>
      <c r="AN80" s="1040" t="s">
        <v>772</v>
      </c>
      <c r="AO80" s="1040">
        <v>12143000</v>
      </c>
      <c r="AP80" s="1040">
        <v>409519</v>
      </c>
    </row>
    <row r="81" spans="1:42" x14ac:dyDescent="0.3">
      <c r="A81" s="1040">
        <v>98</v>
      </c>
      <c r="B81" s="1040">
        <v>75531</v>
      </c>
      <c r="C81" s="1040" t="s">
        <v>558</v>
      </c>
      <c r="D81" s="1040" t="str">
        <f t="shared" si="0"/>
        <v>061901</v>
      </c>
      <c r="E81" s="1040" t="s">
        <v>559</v>
      </c>
      <c r="F81" s="1040" t="str">
        <f t="shared" si="2"/>
        <v>013</v>
      </c>
      <c r="G81" s="1040" t="s">
        <v>768</v>
      </c>
      <c r="H81" s="1041" t="str">
        <f>"10B"</f>
        <v>10B</v>
      </c>
      <c r="I81" s="1040" t="s">
        <v>773</v>
      </c>
      <c r="J81" s="1040">
        <v>409620</v>
      </c>
      <c r="K81" s="1045">
        <v>41402</v>
      </c>
      <c r="L81" s="1040" t="s">
        <v>561</v>
      </c>
      <c r="M81" s="1041">
        <v>2000</v>
      </c>
      <c r="N81" s="1041" t="s">
        <v>576</v>
      </c>
      <c r="O81" s="1041" t="s">
        <v>576</v>
      </c>
      <c r="P81" s="1041" t="s">
        <v>576</v>
      </c>
      <c r="Q81" s="1041" t="s">
        <v>576</v>
      </c>
      <c r="R81" s="1040">
        <v>9</v>
      </c>
      <c r="S81" s="1041">
        <v>1</v>
      </c>
      <c r="T81" s="1042">
        <v>768</v>
      </c>
      <c r="U81" s="1042">
        <v>73388</v>
      </c>
      <c r="V81" s="1042">
        <v>11242</v>
      </c>
      <c r="W81" s="1042"/>
      <c r="X81" s="1042">
        <v>96</v>
      </c>
      <c r="Y81" s="1042">
        <v>15</v>
      </c>
      <c r="Z81" s="1040" t="s">
        <v>577</v>
      </c>
      <c r="AA81" s="1040" t="s">
        <v>578</v>
      </c>
      <c r="AB81" s="1040" t="s">
        <v>579</v>
      </c>
      <c r="AC81" s="1040" t="s">
        <v>580</v>
      </c>
      <c r="AD81" s="1040" t="s">
        <v>581</v>
      </c>
      <c r="AE81" s="1054"/>
      <c r="AF81" s="1040" t="s">
        <v>582</v>
      </c>
      <c r="AG81" s="1040">
        <v>0</v>
      </c>
      <c r="AH81" s="1040" t="s">
        <v>769</v>
      </c>
      <c r="AI81" s="1040" t="s">
        <v>594</v>
      </c>
      <c r="AJ81" s="1040" t="s">
        <v>571</v>
      </c>
      <c r="AK81" s="1041">
        <v>76209</v>
      </c>
      <c r="AL81" s="1040" t="s">
        <v>774</v>
      </c>
      <c r="AM81" s="1040" t="s">
        <v>775</v>
      </c>
      <c r="AN81" s="1040" t="s">
        <v>585</v>
      </c>
      <c r="AO81" s="1040">
        <v>70000</v>
      </c>
      <c r="AP81" s="1040">
        <v>409620</v>
      </c>
    </row>
    <row r="82" spans="1:42" x14ac:dyDescent="0.3">
      <c r="A82" s="1040">
        <v>98</v>
      </c>
      <c r="B82" s="1040">
        <v>75531</v>
      </c>
      <c r="C82" s="1040" t="s">
        <v>558</v>
      </c>
      <c r="D82" s="1040" t="str">
        <f t="shared" si="0"/>
        <v>061901</v>
      </c>
      <c r="E82" s="1040" t="s">
        <v>559</v>
      </c>
      <c r="F82" s="1040" t="str">
        <f t="shared" si="2"/>
        <v>013</v>
      </c>
      <c r="G82" s="1040" t="s">
        <v>768</v>
      </c>
      <c r="H82" s="1041" t="str">
        <f>"10C"</f>
        <v>10C</v>
      </c>
      <c r="I82" s="1040" t="s">
        <v>776</v>
      </c>
      <c r="J82" s="1040">
        <v>409621</v>
      </c>
      <c r="K82" s="1045">
        <v>41402</v>
      </c>
      <c r="L82" s="1040" t="s">
        <v>561</v>
      </c>
      <c r="M82" s="1041">
        <v>2000</v>
      </c>
      <c r="N82" s="1041" t="s">
        <v>576</v>
      </c>
      <c r="O82" s="1041" t="s">
        <v>576</v>
      </c>
      <c r="P82" s="1041" t="s">
        <v>576</v>
      </c>
      <c r="Q82" s="1041" t="s">
        <v>576</v>
      </c>
      <c r="R82" s="1040">
        <v>9</v>
      </c>
      <c r="S82" s="1041">
        <v>1</v>
      </c>
      <c r="T82" s="1042">
        <v>768</v>
      </c>
      <c r="U82" s="1042">
        <v>73388</v>
      </c>
      <c r="V82" s="1042">
        <v>11242</v>
      </c>
      <c r="W82" s="1042"/>
      <c r="X82" s="1042">
        <v>96</v>
      </c>
      <c r="Y82" s="1042">
        <v>15</v>
      </c>
      <c r="Z82" s="1040" t="s">
        <v>577</v>
      </c>
      <c r="AA82" s="1040" t="s">
        <v>578</v>
      </c>
      <c r="AB82" s="1040" t="s">
        <v>579</v>
      </c>
      <c r="AC82" s="1040" t="s">
        <v>580</v>
      </c>
      <c r="AD82" s="1040" t="s">
        <v>581</v>
      </c>
      <c r="AE82" s="1054"/>
      <c r="AF82" s="1040" t="s">
        <v>582</v>
      </c>
      <c r="AG82" s="1040">
        <v>0</v>
      </c>
      <c r="AH82" s="1040" t="s">
        <v>769</v>
      </c>
      <c r="AI82" s="1040" t="s">
        <v>594</v>
      </c>
      <c r="AJ82" s="1040" t="s">
        <v>571</v>
      </c>
      <c r="AK82" s="1041">
        <v>76209</v>
      </c>
      <c r="AL82" s="1040" t="s">
        <v>777</v>
      </c>
      <c r="AM82" s="1040" t="s">
        <v>775</v>
      </c>
      <c r="AN82" s="1040" t="s">
        <v>585</v>
      </c>
      <c r="AO82" s="1040">
        <v>70000</v>
      </c>
      <c r="AP82" s="1040">
        <v>409621</v>
      </c>
    </row>
    <row r="83" spans="1:42" x14ac:dyDescent="0.3">
      <c r="A83" s="1040">
        <v>98</v>
      </c>
      <c r="B83" s="1040">
        <v>75531</v>
      </c>
      <c r="C83" s="1040" t="s">
        <v>558</v>
      </c>
      <c r="D83" s="1040" t="str">
        <f t="shared" si="0"/>
        <v>061901</v>
      </c>
      <c r="E83" s="1040" t="s">
        <v>559</v>
      </c>
      <c r="F83" s="1040" t="str">
        <f t="shared" si="2"/>
        <v>013</v>
      </c>
      <c r="G83" s="1040" t="s">
        <v>768</v>
      </c>
      <c r="H83" s="1041" t="str">
        <f>"10D"</f>
        <v>10D</v>
      </c>
      <c r="I83" s="1040" t="s">
        <v>778</v>
      </c>
      <c r="J83" s="1040">
        <v>409622</v>
      </c>
      <c r="K83" s="1045">
        <v>41402</v>
      </c>
      <c r="L83" s="1040" t="s">
        <v>561</v>
      </c>
      <c r="M83" s="1041">
        <v>2000</v>
      </c>
      <c r="N83" s="1041" t="s">
        <v>576</v>
      </c>
      <c r="O83" s="1041" t="s">
        <v>576</v>
      </c>
      <c r="P83" s="1041" t="s">
        <v>576</v>
      </c>
      <c r="Q83" s="1041" t="s">
        <v>576</v>
      </c>
      <c r="R83" s="1040">
        <v>9</v>
      </c>
      <c r="S83" s="1041">
        <v>1</v>
      </c>
      <c r="T83" s="1042">
        <v>768</v>
      </c>
      <c r="U83" s="1042">
        <v>73388</v>
      </c>
      <c r="V83" s="1042">
        <v>11242</v>
      </c>
      <c r="W83" s="1042"/>
      <c r="X83" s="1042">
        <v>96</v>
      </c>
      <c r="Y83" s="1042">
        <v>15</v>
      </c>
      <c r="Z83" s="1040" t="s">
        <v>577</v>
      </c>
      <c r="AA83" s="1040" t="s">
        <v>578</v>
      </c>
      <c r="AB83" s="1040" t="s">
        <v>579</v>
      </c>
      <c r="AC83" s="1040" t="s">
        <v>580</v>
      </c>
      <c r="AD83" s="1040" t="s">
        <v>581</v>
      </c>
      <c r="AE83" s="1054"/>
      <c r="AF83" s="1040" t="s">
        <v>582</v>
      </c>
      <c r="AG83" s="1040">
        <v>0</v>
      </c>
      <c r="AH83" s="1040" t="s">
        <v>769</v>
      </c>
      <c r="AI83" s="1040" t="s">
        <v>594</v>
      </c>
      <c r="AJ83" s="1040" t="s">
        <v>571</v>
      </c>
      <c r="AK83" s="1041">
        <v>76209</v>
      </c>
      <c r="AL83" s="1040" t="s">
        <v>779</v>
      </c>
      <c r="AM83" s="1040" t="s">
        <v>780</v>
      </c>
      <c r="AN83" s="1040" t="s">
        <v>585</v>
      </c>
      <c r="AO83" s="1040">
        <v>70000</v>
      </c>
      <c r="AP83" s="1040">
        <v>409622</v>
      </c>
    </row>
    <row r="84" spans="1:42" x14ac:dyDescent="0.3">
      <c r="A84" s="1040">
        <v>98</v>
      </c>
      <c r="B84" s="1040">
        <v>75531</v>
      </c>
      <c r="C84" s="1040" t="s">
        <v>558</v>
      </c>
      <c r="D84" s="1040" t="str">
        <f t="shared" si="0"/>
        <v>061901</v>
      </c>
      <c r="E84" s="1040" t="s">
        <v>559</v>
      </c>
      <c r="F84" s="1040" t="str">
        <f t="shared" si="2"/>
        <v>013</v>
      </c>
      <c r="G84" s="1040" t="s">
        <v>768</v>
      </c>
      <c r="H84" s="1041" t="str">
        <f>"10E"</f>
        <v>10E</v>
      </c>
      <c r="I84" s="1040" t="s">
        <v>781</v>
      </c>
      <c r="J84" s="1040">
        <v>409623</v>
      </c>
      <c r="K84" s="1045">
        <v>41402</v>
      </c>
      <c r="L84" s="1040" t="s">
        <v>561</v>
      </c>
      <c r="M84" s="1041">
        <v>2000</v>
      </c>
      <c r="N84" s="1041" t="s">
        <v>576</v>
      </c>
      <c r="O84" s="1041" t="s">
        <v>576</v>
      </c>
      <c r="P84" s="1041" t="s">
        <v>576</v>
      </c>
      <c r="Q84" s="1041" t="s">
        <v>576</v>
      </c>
      <c r="R84" s="1040">
        <v>9</v>
      </c>
      <c r="S84" s="1041">
        <v>1</v>
      </c>
      <c r="T84" s="1042">
        <v>768</v>
      </c>
      <c r="U84" s="1042">
        <v>73388</v>
      </c>
      <c r="V84" s="1042">
        <v>11242</v>
      </c>
      <c r="W84" s="1042"/>
      <c r="X84" s="1042">
        <v>96</v>
      </c>
      <c r="Y84" s="1042">
        <v>15</v>
      </c>
      <c r="Z84" s="1040" t="s">
        <v>577</v>
      </c>
      <c r="AA84" s="1040" t="s">
        <v>578</v>
      </c>
      <c r="AB84" s="1040" t="s">
        <v>579</v>
      </c>
      <c r="AC84" s="1040" t="s">
        <v>580</v>
      </c>
      <c r="AD84" s="1040" t="s">
        <v>581</v>
      </c>
      <c r="AE84" s="1054"/>
      <c r="AF84" s="1040" t="s">
        <v>582</v>
      </c>
      <c r="AG84" s="1040">
        <v>0</v>
      </c>
      <c r="AH84" s="1040" t="s">
        <v>769</v>
      </c>
      <c r="AI84" s="1040" t="s">
        <v>594</v>
      </c>
      <c r="AJ84" s="1040" t="s">
        <v>571</v>
      </c>
      <c r="AK84" s="1041">
        <v>76209</v>
      </c>
      <c r="AL84" s="1040" t="s">
        <v>782</v>
      </c>
      <c r="AM84" s="1040" t="s">
        <v>780</v>
      </c>
      <c r="AN84" s="1040" t="s">
        <v>585</v>
      </c>
      <c r="AO84" s="1040">
        <v>70000</v>
      </c>
      <c r="AP84" s="1040">
        <v>409623</v>
      </c>
    </row>
    <row r="85" spans="1:42" x14ac:dyDescent="0.3">
      <c r="A85" s="1040">
        <v>98</v>
      </c>
      <c r="B85" s="1040">
        <v>75531</v>
      </c>
      <c r="C85" s="1040" t="s">
        <v>558</v>
      </c>
      <c r="D85" s="1040" t="str">
        <f t="shared" si="0"/>
        <v>061901</v>
      </c>
      <c r="E85" s="1040" t="s">
        <v>559</v>
      </c>
      <c r="F85" s="1040" t="str">
        <f t="shared" si="2"/>
        <v>013</v>
      </c>
      <c r="G85" s="1040" t="s">
        <v>768</v>
      </c>
      <c r="H85" s="1041" t="str">
        <f>"10F"</f>
        <v>10F</v>
      </c>
      <c r="I85" s="1040" t="s">
        <v>783</v>
      </c>
      <c r="J85" s="1040">
        <v>409624</v>
      </c>
      <c r="K85" s="1045">
        <v>41402</v>
      </c>
      <c r="L85" s="1040" t="s">
        <v>561</v>
      </c>
      <c r="M85" s="1041">
        <v>2000</v>
      </c>
      <c r="N85" s="1041" t="s">
        <v>576</v>
      </c>
      <c r="O85" s="1041" t="s">
        <v>576</v>
      </c>
      <c r="P85" s="1041" t="s">
        <v>576</v>
      </c>
      <c r="Q85" s="1041" t="s">
        <v>576</v>
      </c>
      <c r="R85" s="1040">
        <v>7</v>
      </c>
      <c r="S85" s="1041">
        <v>1</v>
      </c>
      <c r="T85" s="1042">
        <v>64</v>
      </c>
      <c r="U85" s="1042">
        <v>1046</v>
      </c>
      <c r="V85" s="1042">
        <v>1013</v>
      </c>
      <c r="W85" s="1042"/>
      <c r="X85" s="1042">
        <v>16</v>
      </c>
      <c r="Y85" s="1042">
        <v>16</v>
      </c>
      <c r="Z85" s="1040" t="s">
        <v>577</v>
      </c>
      <c r="AA85" s="1040" t="s">
        <v>615</v>
      </c>
      <c r="AB85" s="1040" t="s">
        <v>606</v>
      </c>
      <c r="AC85" s="1040" t="s">
        <v>606</v>
      </c>
      <c r="AD85" s="1040" t="s">
        <v>616</v>
      </c>
      <c r="AE85" s="1041"/>
      <c r="AF85" s="1040" t="s">
        <v>582</v>
      </c>
      <c r="AG85" s="1040">
        <v>0</v>
      </c>
      <c r="AH85" s="1040" t="s">
        <v>769</v>
      </c>
      <c r="AI85" s="1040" t="s">
        <v>594</v>
      </c>
      <c r="AJ85" s="1040" t="s">
        <v>571</v>
      </c>
      <c r="AK85" s="1041">
        <v>76209</v>
      </c>
      <c r="AL85" s="1040" t="s">
        <v>784</v>
      </c>
      <c r="AM85" s="1040" t="s">
        <v>785</v>
      </c>
      <c r="AN85" s="1040"/>
      <c r="AO85" s="1040">
        <v>1000</v>
      </c>
      <c r="AP85" s="1040">
        <v>409624</v>
      </c>
    </row>
    <row r="86" spans="1:42" x14ac:dyDescent="0.3">
      <c r="A86" s="1040">
        <v>98</v>
      </c>
      <c r="B86" s="1040">
        <v>75531</v>
      </c>
      <c r="C86" s="1040" t="s">
        <v>558</v>
      </c>
      <c r="D86" s="1040" t="str">
        <f t="shared" si="0"/>
        <v>061901</v>
      </c>
      <c r="E86" s="1040" t="s">
        <v>559</v>
      </c>
      <c r="F86" s="1040" t="str">
        <f t="shared" si="2"/>
        <v>013</v>
      </c>
      <c r="G86" s="1040" t="s">
        <v>768</v>
      </c>
      <c r="H86" s="1041" t="str">
        <f>"999"</f>
        <v>999</v>
      </c>
      <c r="I86" s="1040" t="s">
        <v>586</v>
      </c>
      <c r="J86" s="1040">
        <v>409748</v>
      </c>
      <c r="K86" s="1040"/>
      <c r="L86" s="1040" t="s">
        <v>561</v>
      </c>
      <c r="M86" s="1041"/>
      <c r="N86" s="1041" t="s">
        <v>576</v>
      </c>
      <c r="O86" s="1041" t="s">
        <v>576</v>
      </c>
      <c r="P86" s="1041" t="s">
        <v>576</v>
      </c>
      <c r="Q86" s="1041" t="s">
        <v>576</v>
      </c>
      <c r="R86" s="1040">
        <v>0</v>
      </c>
      <c r="S86" s="1041">
        <v>0</v>
      </c>
      <c r="T86" s="1042"/>
      <c r="U86" s="1042"/>
      <c r="V86" s="1042"/>
      <c r="W86" s="1042">
        <v>283071</v>
      </c>
      <c r="X86" s="1042"/>
      <c r="Y86" s="1042"/>
      <c r="Z86" s="1040"/>
      <c r="AA86" s="1040"/>
      <c r="AB86" s="1040"/>
      <c r="AC86" s="1040"/>
      <c r="AD86" s="1040"/>
      <c r="AE86" s="1041"/>
      <c r="AF86" s="1040"/>
      <c r="AG86" s="1040">
        <v>0</v>
      </c>
      <c r="AH86" s="1040" t="s">
        <v>769</v>
      </c>
      <c r="AI86" s="1040" t="s">
        <v>594</v>
      </c>
      <c r="AJ86" s="1040" t="s">
        <v>571</v>
      </c>
      <c r="AK86" s="1041">
        <v>76209</v>
      </c>
      <c r="AL86" s="1040"/>
      <c r="AM86" s="1040"/>
      <c r="AN86" s="1040"/>
      <c r="AO86" s="1040">
        <v>0</v>
      </c>
      <c r="AP86" s="1040">
        <v>409748</v>
      </c>
    </row>
    <row r="87" spans="1:42" s="1059" customFormat="1" x14ac:dyDescent="0.3">
      <c r="A87" s="1056"/>
      <c r="B87" s="1056"/>
      <c r="C87" s="1056"/>
      <c r="D87" s="1056"/>
      <c r="E87" s="1056"/>
      <c r="F87" s="1056"/>
      <c r="G87" s="1056"/>
      <c r="H87" s="1057"/>
      <c r="I87" s="1056"/>
      <c r="J87" s="1056"/>
      <c r="K87" s="1056"/>
      <c r="L87" s="1056"/>
      <c r="M87" s="1057"/>
      <c r="N87" s="1057"/>
      <c r="O87" s="1057"/>
      <c r="P87" s="1057"/>
      <c r="Q87" s="1057"/>
      <c r="R87" s="1056"/>
      <c r="S87" s="1057"/>
      <c r="T87" s="1058"/>
      <c r="U87" s="1058"/>
      <c r="V87" s="1058"/>
      <c r="W87" s="1058"/>
      <c r="X87" s="1058"/>
      <c r="Y87" s="1058"/>
      <c r="Z87" s="1056"/>
      <c r="AA87" s="1056"/>
      <c r="AB87" s="1056"/>
      <c r="AC87" s="1056"/>
      <c r="AD87" s="1056"/>
      <c r="AE87" s="1057"/>
      <c r="AF87" s="1056"/>
      <c r="AG87" s="1056"/>
      <c r="AH87" s="1056"/>
      <c r="AI87" s="1056"/>
      <c r="AJ87" s="1056"/>
      <c r="AK87" s="1057"/>
      <c r="AL87" s="1056"/>
      <c r="AM87" s="1056"/>
      <c r="AN87" s="1056"/>
      <c r="AO87" s="1056"/>
      <c r="AP87" s="1056"/>
    </row>
    <row r="88" spans="1:42" s="1059" customFormat="1" x14ac:dyDescent="0.3">
      <c r="A88" s="1060"/>
      <c r="B88" s="1060"/>
      <c r="C88" s="1060"/>
      <c r="D88" s="1060"/>
      <c r="E88" s="1060"/>
      <c r="F88" s="1060"/>
      <c r="G88" s="1060"/>
      <c r="H88" s="1061"/>
      <c r="I88" s="1062" t="s">
        <v>786</v>
      </c>
      <c r="J88" s="1060"/>
      <c r="K88" s="1060"/>
      <c r="L88" s="1060"/>
      <c r="M88" s="1061"/>
      <c r="N88" s="1061"/>
      <c r="O88" s="1061"/>
      <c r="P88" s="1061"/>
      <c r="Q88" s="1061"/>
      <c r="R88" s="1060"/>
      <c r="S88" s="1061"/>
      <c r="T88" s="1063"/>
      <c r="U88" s="1063"/>
      <c r="V88" s="1063"/>
      <c r="W88" s="1063"/>
      <c r="X88" s="1063"/>
      <c r="Y88" s="1063"/>
      <c r="Z88" s="1060"/>
      <c r="AA88" s="1060"/>
      <c r="AB88" s="1060"/>
      <c r="AC88" s="1060"/>
      <c r="AD88" s="1060"/>
      <c r="AE88" s="1061"/>
      <c r="AF88" s="1060"/>
      <c r="AG88" s="1060"/>
      <c r="AH88" s="1060"/>
      <c r="AI88" s="1060"/>
      <c r="AJ88" s="1060"/>
      <c r="AK88" s="1061"/>
      <c r="AL88" s="1060"/>
      <c r="AM88" s="1060"/>
      <c r="AN88" s="1060"/>
      <c r="AO88" s="1060"/>
      <c r="AP88" s="1060"/>
    </row>
    <row r="89" spans="1:42" x14ac:dyDescent="0.3">
      <c r="A89" s="1040">
        <v>98</v>
      </c>
      <c r="B89" s="1040">
        <v>75531</v>
      </c>
      <c r="C89" s="1040" t="s">
        <v>558</v>
      </c>
      <c r="D89" s="1040" t="str">
        <f t="shared" si="0"/>
        <v>061901</v>
      </c>
      <c r="E89" s="1040" t="s">
        <v>559</v>
      </c>
      <c r="F89" s="1040" t="str">
        <f>"014"</f>
        <v>014</v>
      </c>
      <c r="H89" s="1041" t="str">
        <f>"14A"</f>
        <v>14A</v>
      </c>
      <c r="I89" s="1040" t="s">
        <v>787</v>
      </c>
      <c r="J89" s="1040">
        <v>409586</v>
      </c>
      <c r="K89" s="1045">
        <v>41410</v>
      </c>
      <c r="L89" s="1040" t="s">
        <v>561</v>
      </c>
      <c r="M89" s="1041">
        <v>1987</v>
      </c>
      <c r="N89" s="1041" t="s">
        <v>562</v>
      </c>
      <c r="O89" s="1041" t="s">
        <v>562</v>
      </c>
      <c r="P89" s="1041" t="s">
        <v>562</v>
      </c>
      <c r="Q89" s="1041" t="s">
        <v>562</v>
      </c>
      <c r="R89" s="1040">
        <v>12</v>
      </c>
      <c r="S89" s="1041">
        <v>1</v>
      </c>
      <c r="T89" s="1042">
        <v>21625</v>
      </c>
      <c r="U89" s="1042">
        <v>2853778</v>
      </c>
      <c r="V89" s="1042">
        <v>457865</v>
      </c>
      <c r="W89" s="1042"/>
      <c r="X89" s="1042">
        <v>132</v>
      </c>
      <c r="Y89" s="1042">
        <v>21</v>
      </c>
      <c r="Z89" s="1040" t="s">
        <v>563</v>
      </c>
      <c r="AA89" s="1040" t="s">
        <v>693</v>
      </c>
      <c r="AB89" s="1040" t="s">
        <v>637</v>
      </c>
      <c r="AC89" s="1040" t="s">
        <v>638</v>
      </c>
      <c r="AD89" s="1040" t="s">
        <v>581</v>
      </c>
      <c r="AE89" s="1054"/>
      <c r="AF89" s="1040" t="s">
        <v>582</v>
      </c>
      <c r="AG89" s="1040">
        <v>0</v>
      </c>
      <c r="AH89" s="1040" t="s">
        <v>788</v>
      </c>
      <c r="AI89" s="1040" t="s">
        <v>594</v>
      </c>
      <c r="AJ89" s="1040" t="s">
        <v>571</v>
      </c>
      <c r="AK89" s="1041">
        <v>76201</v>
      </c>
      <c r="AL89" s="1040" t="s">
        <v>789</v>
      </c>
      <c r="AM89" s="1040" t="s">
        <v>790</v>
      </c>
      <c r="AN89" s="1040" t="s">
        <v>791</v>
      </c>
      <c r="AO89" s="1040">
        <v>2722000</v>
      </c>
      <c r="AP89" s="1040">
        <v>409586</v>
      </c>
    </row>
    <row r="90" spans="1:42" x14ac:dyDescent="0.3">
      <c r="A90" s="1040">
        <v>98</v>
      </c>
      <c r="B90" s="1040">
        <v>75531</v>
      </c>
      <c r="C90" s="1040" t="s">
        <v>558</v>
      </c>
      <c r="D90" s="1040" t="str">
        <f t="shared" si="0"/>
        <v>061901</v>
      </c>
      <c r="E90" s="1040" t="s">
        <v>559</v>
      </c>
      <c r="F90" s="1040" t="str">
        <f>"014"</f>
        <v>014</v>
      </c>
      <c r="G90" s="1040" t="s">
        <v>786</v>
      </c>
      <c r="H90" s="1041" t="str">
        <f>"34C"</f>
        <v>34C</v>
      </c>
      <c r="I90" s="1040" t="s">
        <v>792</v>
      </c>
      <c r="J90" s="1040">
        <v>409589</v>
      </c>
      <c r="K90" s="1045">
        <v>41403</v>
      </c>
      <c r="L90" s="1040" t="s">
        <v>793</v>
      </c>
      <c r="M90" s="1041">
        <v>2000</v>
      </c>
      <c r="N90" s="1041" t="s">
        <v>576</v>
      </c>
      <c r="O90" s="1041" t="s">
        <v>576</v>
      </c>
      <c r="P90" s="1041" t="s">
        <v>576</v>
      </c>
      <c r="Q90" s="1041" t="s">
        <v>576</v>
      </c>
      <c r="R90" s="1040">
        <v>9</v>
      </c>
      <c r="S90" s="1041">
        <v>1</v>
      </c>
      <c r="T90" s="1042">
        <v>768</v>
      </c>
      <c r="U90" s="1042">
        <v>73388</v>
      </c>
      <c r="V90" s="1042">
        <v>20059</v>
      </c>
      <c r="W90" s="1042"/>
      <c r="X90" s="1042">
        <v>96</v>
      </c>
      <c r="Y90" s="1042">
        <v>26</v>
      </c>
      <c r="Z90" s="1040" t="s">
        <v>577</v>
      </c>
      <c r="AA90" s="1040" t="s">
        <v>578</v>
      </c>
      <c r="AB90" s="1040" t="s">
        <v>579</v>
      </c>
      <c r="AC90" s="1040" t="s">
        <v>580</v>
      </c>
      <c r="AD90" s="1040" t="s">
        <v>581</v>
      </c>
      <c r="AE90" s="1054"/>
      <c r="AF90" s="1040" t="s">
        <v>582</v>
      </c>
      <c r="AG90" s="1040">
        <v>0</v>
      </c>
      <c r="AH90" s="1040" t="s">
        <v>788</v>
      </c>
      <c r="AI90" s="1040" t="s">
        <v>594</v>
      </c>
      <c r="AJ90" s="1040" t="s">
        <v>571</v>
      </c>
      <c r="AK90" s="1041">
        <v>76201</v>
      </c>
      <c r="AL90" s="1040" t="s">
        <v>794</v>
      </c>
      <c r="AM90" s="1040" t="s">
        <v>795</v>
      </c>
      <c r="AN90" s="1040" t="s">
        <v>585</v>
      </c>
      <c r="AO90" s="1040">
        <v>70000</v>
      </c>
      <c r="AP90" s="1040">
        <v>409589</v>
      </c>
    </row>
    <row r="91" spans="1:42" x14ac:dyDescent="0.3">
      <c r="A91" s="1040">
        <v>98</v>
      </c>
      <c r="B91" s="1040">
        <v>75531</v>
      </c>
      <c r="C91" s="1040" t="s">
        <v>558</v>
      </c>
      <c r="D91" s="1040" t="str">
        <f t="shared" si="0"/>
        <v>061901</v>
      </c>
      <c r="E91" s="1040" t="s">
        <v>559</v>
      </c>
      <c r="F91" s="1040" t="str">
        <f>"014"</f>
        <v>014</v>
      </c>
      <c r="G91" s="1040" t="s">
        <v>786</v>
      </c>
      <c r="H91" s="1041" t="str">
        <f>"999"</f>
        <v>999</v>
      </c>
      <c r="I91" s="1040" t="s">
        <v>586</v>
      </c>
      <c r="J91" s="1040">
        <v>409787</v>
      </c>
      <c r="K91" s="1040"/>
      <c r="L91" s="1040" t="s">
        <v>561</v>
      </c>
      <c r="M91" s="1041"/>
      <c r="N91" s="1041" t="s">
        <v>576</v>
      </c>
      <c r="O91" s="1041" t="s">
        <v>576</v>
      </c>
      <c r="P91" s="1041" t="s">
        <v>576</v>
      </c>
      <c r="Q91" s="1041" t="s">
        <v>576</v>
      </c>
      <c r="R91" s="1040">
        <v>0</v>
      </c>
      <c r="S91" s="1041">
        <v>0</v>
      </c>
      <c r="T91" s="1042"/>
      <c r="U91" s="1042"/>
      <c r="V91" s="1042"/>
      <c r="W91" s="1042">
        <v>37743</v>
      </c>
      <c r="X91" s="1042"/>
      <c r="Y91" s="1042"/>
      <c r="Z91" s="1040"/>
      <c r="AA91" s="1040"/>
      <c r="AB91" s="1040"/>
      <c r="AC91" s="1040"/>
      <c r="AD91" s="1040"/>
      <c r="AE91" s="1041"/>
      <c r="AF91" s="1040"/>
      <c r="AG91" s="1040">
        <v>0</v>
      </c>
      <c r="AH91" s="1040" t="s">
        <v>788</v>
      </c>
      <c r="AI91" s="1040" t="s">
        <v>594</v>
      </c>
      <c r="AJ91" s="1040" t="s">
        <v>571</v>
      </c>
      <c r="AK91" s="1041">
        <v>76201</v>
      </c>
      <c r="AL91" s="1040"/>
      <c r="AM91" s="1040"/>
      <c r="AN91" s="1040"/>
      <c r="AO91" s="1040">
        <v>0</v>
      </c>
      <c r="AP91" s="1040">
        <v>409787</v>
      </c>
    </row>
    <row r="92" spans="1:42" s="1059" customFormat="1" x14ac:dyDescent="0.3">
      <c r="A92" s="1056"/>
      <c r="B92" s="1056"/>
      <c r="C92" s="1056"/>
      <c r="D92" s="1056"/>
      <c r="E92" s="1056"/>
      <c r="F92" s="1056"/>
      <c r="G92" s="1056"/>
      <c r="H92" s="1057"/>
      <c r="I92" s="1056"/>
      <c r="J92" s="1056"/>
      <c r="K92" s="1056"/>
      <c r="L92" s="1056"/>
      <c r="M92" s="1057"/>
      <c r="N92" s="1057"/>
      <c r="O92" s="1057"/>
      <c r="P92" s="1057"/>
      <c r="Q92" s="1057"/>
      <c r="R92" s="1056"/>
      <c r="S92" s="1057"/>
      <c r="T92" s="1058"/>
      <c r="U92" s="1058"/>
      <c r="V92" s="1058"/>
      <c r="W92" s="1058"/>
      <c r="X92" s="1058"/>
      <c r="Y92" s="1058"/>
      <c r="Z92" s="1056"/>
      <c r="AA92" s="1056"/>
      <c r="AB92" s="1056"/>
      <c r="AC92" s="1056"/>
      <c r="AD92" s="1056"/>
      <c r="AE92" s="1057"/>
      <c r="AF92" s="1056"/>
      <c r="AG92" s="1056"/>
      <c r="AH92" s="1056"/>
      <c r="AI92" s="1056"/>
      <c r="AJ92" s="1056"/>
      <c r="AK92" s="1057"/>
      <c r="AL92" s="1056"/>
      <c r="AM92" s="1056"/>
      <c r="AN92" s="1056"/>
      <c r="AO92" s="1056"/>
      <c r="AP92" s="1056"/>
    </row>
    <row r="93" spans="1:42" s="1059" customFormat="1" x14ac:dyDescent="0.3">
      <c r="A93" s="1060"/>
      <c r="B93" s="1060"/>
      <c r="C93" s="1060"/>
      <c r="D93" s="1060"/>
      <c r="E93" s="1060"/>
      <c r="F93" s="1060"/>
      <c r="G93" s="1060"/>
      <c r="H93" s="1061"/>
      <c r="I93" s="1062" t="s">
        <v>796</v>
      </c>
      <c r="J93" s="1060"/>
      <c r="K93" s="1060"/>
      <c r="L93" s="1060"/>
      <c r="M93" s="1061"/>
      <c r="N93" s="1061"/>
      <c r="O93" s="1061"/>
      <c r="P93" s="1061"/>
      <c r="Q93" s="1061"/>
      <c r="R93" s="1060"/>
      <c r="S93" s="1061"/>
      <c r="T93" s="1063"/>
      <c r="U93" s="1063"/>
      <c r="V93" s="1063"/>
      <c r="W93" s="1063"/>
      <c r="X93" s="1063"/>
      <c r="Y93" s="1063"/>
      <c r="Z93" s="1060"/>
      <c r="AA93" s="1060"/>
      <c r="AB93" s="1060"/>
      <c r="AC93" s="1060"/>
      <c r="AD93" s="1060"/>
      <c r="AE93" s="1061"/>
      <c r="AF93" s="1060"/>
      <c r="AG93" s="1060"/>
      <c r="AH93" s="1060"/>
      <c r="AI93" s="1060"/>
      <c r="AJ93" s="1060"/>
      <c r="AK93" s="1061"/>
      <c r="AL93" s="1060"/>
      <c r="AM93" s="1060"/>
      <c r="AN93" s="1060"/>
      <c r="AO93" s="1060"/>
      <c r="AP93" s="1060"/>
    </row>
    <row r="94" spans="1:42" x14ac:dyDescent="0.3">
      <c r="A94" s="1040">
        <v>98</v>
      </c>
      <c r="B94" s="1040">
        <v>75531</v>
      </c>
      <c r="C94" s="1040" t="s">
        <v>558</v>
      </c>
      <c r="D94" s="1040" t="str">
        <f t="shared" ref="D94:D181" si="3">"061901"</f>
        <v>061901</v>
      </c>
      <c r="E94" s="1040" t="s">
        <v>559</v>
      </c>
      <c r="F94" s="1040" t="str">
        <f>"015"</f>
        <v>015</v>
      </c>
      <c r="H94" s="1041" t="str">
        <f>"45A"</f>
        <v>45A</v>
      </c>
      <c r="I94" s="1040" t="s">
        <v>560</v>
      </c>
      <c r="J94" s="1040">
        <v>409533</v>
      </c>
      <c r="K94" s="1045">
        <v>41394</v>
      </c>
      <c r="L94" s="1040" t="s">
        <v>561</v>
      </c>
      <c r="M94" s="1041">
        <v>2008</v>
      </c>
      <c r="N94" s="1041" t="s">
        <v>562</v>
      </c>
      <c r="O94" s="1041" t="s">
        <v>562</v>
      </c>
      <c r="P94" s="1041" t="s">
        <v>562</v>
      </c>
      <c r="Q94" s="1041" t="s">
        <v>562</v>
      </c>
      <c r="R94" s="1040">
        <v>16</v>
      </c>
      <c r="S94" s="1041">
        <v>1</v>
      </c>
      <c r="T94" s="1042">
        <v>77283</v>
      </c>
      <c r="U94" s="1042">
        <v>13380360</v>
      </c>
      <c r="V94" s="1042">
        <v>1889563</v>
      </c>
      <c r="W94" s="1042"/>
      <c r="X94" s="1042">
        <v>173</v>
      </c>
      <c r="Y94" s="1042">
        <v>24</v>
      </c>
      <c r="Z94" s="1040" t="s">
        <v>563</v>
      </c>
      <c r="AA94" s="1040" t="s">
        <v>797</v>
      </c>
      <c r="AB94" s="1040" t="s">
        <v>565</v>
      </c>
      <c r="AC94" s="1040" t="s">
        <v>566</v>
      </c>
      <c r="AD94" s="1040" t="s">
        <v>591</v>
      </c>
      <c r="AE94" s="1041"/>
      <c r="AF94" s="1040" t="s">
        <v>754</v>
      </c>
      <c r="AG94" s="1040">
        <v>0</v>
      </c>
      <c r="AH94" s="1040" t="s">
        <v>798</v>
      </c>
      <c r="AI94" s="1040" t="s">
        <v>799</v>
      </c>
      <c r="AJ94" s="1040" t="s">
        <v>571</v>
      </c>
      <c r="AK94" s="1041">
        <v>76208</v>
      </c>
      <c r="AL94" s="1040" t="s">
        <v>800</v>
      </c>
      <c r="AM94" s="1040" t="s">
        <v>801</v>
      </c>
      <c r="AN94" s="1040" t="s">
        <v>802</v>
      </c>
      <c r="AO94" s="1040">
        <v>12762500</v>
      </c>
      <c r="AP94" s="1040">
        <v>409533</v>
      </c>
    </row>
    <row r="95" spans="1:42" x14ac:dyDescent="0.3">
      <c r="A95" s="1040">
        <v>98</v>
      </c>
      <c r="B95" s="1040">
        <v>75531</v>
      </c>
      <c r="C95" s="1040" t="s">
        <v>558</v>
      </c>
      <c r="D95" s="1040" t="str">
        <f t="shared" si="3"/>
        <v>061901</v>
      </c>
      <c r="E95" s="1040" t="s">
        <v>559</v>
      </c>
      <c r="F95" s="1040" t="str">
        <f>"015"</f>
        <v>015</v>
      </c>
      <c r="G95" s="1040" t="s">
        <v>796</v>
      </c>
      <c r="H95" s="1041" t="str">
        <f>"45B"</f>
        <v>45B</v>
      </c>
      <c r="I95" s="1040" t="s">
        <v>803</v>
      </c>
      <c r="J95" s="1040">
        <v>409625</v>
      </c>
      <c r="K95" s="1045">
        <v>41394</v>
      </c>
      <c r="L95" s="1040" t="s">
        <v>561</v>
      </c>
      <c r="M95" s="1041">
        <v>2012</v>
      </c>
      <c r="N95" s="1041" t="s">
        <v>576</v>
      </c>
      <c r="O95" s="1041" t="s">
        <v>576</v>
      </c>
      <c r="P95" s="1041" t="s">
        <v>576</v>
      </c>
      <c r="Q95" s="1041" t="s">
        <v>576</v>
      </c>
      <c r="R95" s="1040">
        <v>10</v>
      </c>
      <c r="S95" s="1041">
        <v>1</v>
      </c>
      <c r="T95" s="1042">
        <v>345</v>
      </c>
      <c r="U95" s="1042">
        <v>11775</v>
      </c>
      <c r="V95" s="1042">
        <v>0</v>
      </c>
      <c r="W95" s="1042"/>
      <c r="X95" s="1042">
        <v>34</v>
      </c>
      <c r="Y95" s="1042">
        <v>0</v>
      </c>
      <c r="Z95" s="1040" t="s">
        <v>577</v>
      </c>
      <c r="AA95" s="1040" t="s">
        <v>615</v>
      </c>
      <c r="AB95" s="1040" t="s">
        <v>606</v>
      </c>
      <c r="AC95" s="1040" t="s">
        <v>606</v>
      </c>
      <c r="AD95" s="1040" t="s">
        <v>581</v>
      </c>
      <c r="AE95" s="1054"/>
      <c r="AF95" s="1040" t="s">
        <v>582</v>
      </c>
      <c r="AG95" s="1040">
        <v>0</v>
      </c>
      <c r="AH95" s="1040" t="s">
        <v>798</v>
      </c>
      <c r="AI95" s="1040" t="s">
        <v>799</v>
      </c>
      <c r="AJ95" s="1040" t="s">
        <v>571</v>
      </c>
      <c r="AK95" s="1041">
        <v>76208</v>
      </c>
      <c r="AL95" s="1040" t="s">
        <v>804</v>
      </c>
      <c r="AM95" s="1040" t="s">
        <v>805</v>
      </c>
      <c r="AN95" s="1040"/>
      <c r="AO95" s="1040">
        <v>11231</v>
      </c>
      <c r="AP95" s="1040">
        <v>409625</v>
      </c>
    </row>
    <row r="96" spans="1:42" x14ac:dyDescent="0.3">
      <c r="A96" s="1040">
        <v>98</v>
      </c>
      <c r="B96" s="1040">
        <v>75531</v>
      </c>
      <c r="C96" s="1040" t="s">
        <v>558</v>
      </c>
      <c r="D96" s="1040" t="str">
        <f t="shared" si="3"/>
        <v>061901</v>
      </c>
      <c r="E96" s="1040" t="s">
        <v>559</v>
      </c>
      <c r="F96" s="1040" t="str">
        <f>"015"</f>
        <v>015</v>
      </c>
      <c r="G96" s="1040" t="s">
        <v>796</v>
      </c>
      <c r="H96" s="1041" t="str">
        <f>"45C"</f>
        <v>45C</v>
      </c>
      <c r="I96" s="1040" t="s">
        <v>783</v>
      </c>
      <c r="J96" s="1040">
        <v>409626</v>
      </c>
      <c r="K96" s="1045">
        <v>41394</v>
      </c>
      <c r="L96" s="1040" t="s">
        <v>561</v>
      </c>
      <c r="M96" s="1041">
        <v>2012</v>
      </c>
      <c r="N96" s="1041" t="s">
        <v>576</v>
      </c>
      <c r="O96" s="1041" t="s">
        <v>576</v>
      </c>
      <c r="P96" s="1041" t="s">
        <v>576</v>
      </c>
      <c r="Q96" s="1041" t="s">
        <v>576</v>
      </c>
      <c r="R96" s="1040">
        <v>6</v>
      </c>
      <c r="S96" s="1041">
        <v>1</v>
      </c>
      <c r="T96" s="1042">
        <v>64</v>
      </c>
      <c r="U96" s="1042">
        <v>1068</v>
      </c>
      <c r="V96" s="1042">
        <v>1020</v>
      </c>
      <c r="W96" s="1042"/>
      <c r="X96" s="1042">
        <v>17</v>
      </c>
      <c r="Y96" s="1042">
        <v>16</v>
      </c>
      <c r="Z96" s="1040" t="s">
        <v>577</v>
      </c>
      <c r="AA96" s="1040" t="s">
        <v>615</v>
      </c>
      <c r="AB96" s="1040" t="s">
        <v>579</v>
      </c>
      <c r="AC96" s="1040" t="s">
        <v>580</v>
      </c>
      <c r="AD96" s="1040" t="s">
        <v>616</v>
      </c>
      <c r="AE96" s="1041"/>
      <c r="AF96" s="1040" t="s">
        <v>582</v>
      </c>
      <c r="AG96" s="1040">
        <v>0</v>
      </c>
      <c r="AH96" s="1040" t="s">
        <v>798</v>
      </c>
      <c r="AI96" s="1040" t="s">
        <v>799</v>
      </c>
      <c r="AJ96" s="1040" t="s">
        <v>571</v>
      </c>
      <c r="AK96" s="1041">
        <v>76208</v>
      </c>
      <c r="AL96" s="1040" t="s">
        <v>806</v>
      </c>
      <c r="AM96" s="1040" t="s">
        <v>807</v>
      </c>
      <c r="AN96" s="1040"/>
      <c r="AO96" s="1040">
        <v>1021</v>
      </c>
      <c r="AP96" s="1040">
        <v>409626</v>
      </c>
    </row>
    <row r="97" spans="1:42" x14ac:dyDescent="0.3">
      <c r="A97" s="1040">
        <v>98</v>
      </c>
      <c r="B97" s="1040">
        <v>75531</v>
      </c>
      <c r="C97" s="1040" t="s">
        <v>558</v>
      </c>
      <c r="D97" s="1040" t="str">
        <f t="shared" si="3"/>
        <v>061901</v>
      </c>
      <c r="E97" s="1040" t="s">
        <v>559</v>
      </c>
      <c r="F97" s="1040" t="str">
        <f>"015"</f>
        <v>015</v>
      </c>
      <c r="G97" s="1040" t="s">
        <v>796</v>
      </c>
      <c r="H97" s="1041" t="str">
        <f>"999"</f>
        <v>999</v>
      </c>
      <c r="I97" s="1040" t="s">
        <v>586</v>
      </c>
      <c r="J97" s="1040">
        <v>409761</v>
      </c>
      <c r="K97" s="1040"/>
      <c r="L97" s="1040" t="s">
        <v>561</v>
      </c>
      <c r="M97" s="1041"/>
      <c r="N97" s="1041" t="s">
        <v>576</v>
      </c>
      <c r="O97" s="1041" t="s">
        <v>576</v>
      </c>
      <c r="P97" s="1041" t="s">
        <v>576</v>
      </c>
      <c r="Q97" s="1041" t="s">
        <v>576</v>
      </c>
      <c r="R97" s="1040">
        <v>0</v>
      </c>
      <c r="S97" s="1041">
        <v>0</v>
      </c>
      <c r="T97" s="1042"/>
      <c r="U97" s="1042"/>
      <c r="V97" s="1042"/>
      <c r="W97" s="1042">
        <v>198150</v>
      </c>
      <c r="X97" s="1042"/>
      <c r="Y97" s="1042"/>
      <c r="Z97" s="1040"/>
      <c r="AA97" s="1040"/>
      <c r="AB97" s="1040"/>
      <c r="AC97" s="1040"/>
      <c r="AD97" s="1040"/>
      <c r="AE97" s="1041"/>
      <c r="AF97" s="1040"/>
      <c r="AG97" s="1040">
        <v>0</v>
      </c>
      <c r="AH97" s="1040" t="s">
        <v>798</v>
      </c>
      <c r="AI97" s="1040" t="s">
        <v>799</v>
      </c>
      <c r="AJ97" s="1040" t="s">
        <v>571</v>
      </c>
      <c r="AK97" s="1041">
        <v>76208</v>
      </c>
      <c r="AL97" s="1040"/>
      <c r="AM97" s="1040"/>
      <c r="AN97" s="1040"/>
      <c r="AO97" s="1040">
        <v>0</v>
      </c>
      <c r="AP97" s="1040">
        <v>409761</v>
      </c>
    </row>
    <row r="98" spans="1:42" s="1059" customFormat="1" x14ac:dyDescent="0.3">
      <c r="A98" s="1056"/>
      <c r="B98" s="1056"/>
      <c r="C98" s="1056"/>
      <c r="D98" s="1056"/>
      <c r="E98" s="1056"/>
      <c r="F98" s="1056"/>
      <c r="G98" s="1056"/>
      <c r="H98" s="1057"/>
      <c r="I98" s="1056"/>
      <c r="J98" s="1056"/>
      <c r="K98" s="1056"/>
      <c r="L98" s="1056"/>
      <c r="M98" s="1057"/>
      <c r="N98" s="1057"/>
      <c r="O98" s="1057"/>
      <c r="P98" s="1057"/>
      <c r="Q98" s="1057"/>
      <c r="R98" s="1056"/>
      <c r="S98" s="1057"/>
      <c r="T98" s="1058"/>
      <c r="U98" s="1058"/>
      <c r="V98" s="1058"/>
      <c r="W98" s="1058"/>
      <c r="X98" s="1058"/>
      <c r="Y98" s="1058"/>
      <c r="Z98" s="1056"/>
      <c r="AA98" s="1056"/>
      <c r="AB98" s="1056"/>
      <c r="AC98" s="1056"/>
      <c r="AD98" s="1056"/>
      <c r="AE98" s="1057"/>
      <c r="AF98" s="1056"/>
      <c r="AG98" s="1056"/>
      <c r="AH98" s="1056"/>
      <c r="AI98" s="1056"/>
      <c r="AJ98" s="1056"/>
      <c r="AK98" s="1057"/>
      <c r="AL98" s="1056"/>
      <c r="AM98" s="1056"/>
      <c r="AN98" s="1056"/>
      <c r="AO98" s="1056"/>
      <c r="AP98" s="1056"/>
    </row>
    <row r="99" spans="1:42" s="1059" customFormat="1" x14ac:dyDescent="0.3">
      <c r="A99" s="1060"/>
      <c r="B99" s="1060"/>
      <c r="C99" s="1060"/>
      <c r="D99" s="1060"/>
      <c r="E99" s="1060"/>
      <c r="F99" s="1060"/>
      <c r="G99" s="1060"/>
      <c r="H99" s="1061"/>
      <c r="I99" s="1062" t="s">
        <v>808</v>
      </c>
      <c r="J99" s="1060"/>
      <c r="K99" s="1060"/>
      <c r="L99" s="1060"/>
      <c r="M99" s="1061"/>
      <c r="N99" s="1061"/>
      <c r="O99" s="1061"/>
      <c r="P99" s="1061"/>
      <c r="Q99" s="1061"/>
      <c r="R99" s="1060"/>
      <c r="S99" s="1061"/>
      <c r="T99" s="1063"/>
      <c r="U99" s="1063"/>
      <c r="V99" s="1063"/>
      <c r="W99" s="1063"/>
      <c r="X99" s="1063"/>
      <c r="Y99" s="1063"/>
      <c r="Z99" s="1060"/>
      <c r="AA99" s="1060"/>
      <c r="AB99" s="1060"/>
      <c r="AC99" s="1060"/>
      <c r="AD99" s="1060"/>
      <c r="AE99" s="1061"/>
      <c r="AF99" s="1060"/>
      <c r="AG99" s="1060"/>
      <c r="AH99" s="1060"/>
      <c r="AI99" s="1060"/>
      <c r="AJ99" s="1060"/>
      <c r="AK99" s="1061"/>
      <c r="AL99" s="1060"/>
      <c r="AM99" s="1060"/>
      <c r="AN99" s="1060"/>
      <c r="AO99" s="1060"/>
      <c r="AP99" s="1060"/>
    </row>
    <row r="100" spans="1:42" x14ac:dyDescent="0.3">
      <c r="A100" s="1040">
        <v>98</v>
      </c>
      <c r="B100" s="1040">
        <v>75531</v>
      </c>
      <c r="C100" s="1040" t="s">
        <v>558</v>
      </c>
      <c r="D100" s="1040" t="str">
        <f t="shared" si="3"/>
        <v>061901</v>
      </c>
      <c r="E100" s="1040" t="s">
        <v>559</v>
      </c>
      <c r="F100" s="1040" t="str">
        <f t="shared" ref="F100:F105" si="4">"016"</f>
        <v>016</v>
      </c>
      <c r="H100" s="1041" t="str">
        <f>"8A"</f>
        <v>8A</v>
      </c>
      <c r="I100" s="1040" t="s">
        <v>560</v>
      </c>
      <c r="J100" s="1040">
        <v>409525</v>
      </c>
      <c r="K100" s="1045">
        <v>41396</v>
      </c>
      <c r="L100" s="1040" t="s">
        <v>561</v>
      </c>
      <c r="M100" s="1041">
        <v>1960</v>
      </c>
      <c r="N100" s="1041" t="s">
        <v>562</v>
      </c>
      <c r="O100" s="1041" t="s">
        <v>562</v>
      </c>
      <c r="P100" s="1041" t="s">
        <v>562</v>
      </c>
      <c r="Q100" s="1041" t="s">
        <v>562</v>
      </c>
      <c r="R100" s="1040">
        <v>14</v>
      </c>
      <c r="S100" s="1041">
        <v>1</v>
      </c>
      <c r="T100" s="1042">
        <v>89516</v>
      </c>
      <c r="U100" s="1042">
        <v>13653471</v>
      </c>
      <c r="V100" s="1042">
        <v>2173836</v>
      </c>
      <c r="W100" s="1042"/>
      <c r="X100" s="1042">
        <v>153</v>
      </c>
      <c r="Y100" s="1042">
        <v>24</v>
      </c>
      <c r="Z100" s="1040" t="s">
        <v>563</v>
      </c>
      <c r="AA100" s="1040" t="s">
        <v>809</v>
      </c>
      <c r="AB100" s="1040" t="s">
        <v>565</v>
      </c>
      <c r="AC100" s="1040" t="s">
        <v>566</v>
      </c>
      <c r="AD100" s="1040" t="s">
        <v>591</v>
      </c>
      <c r="AE100" s="1055"/>
      <c r="AF100" s="1040" t="s">
        <v>592</v>
      </c>
      <c r="AG100" s="1040">
        <v>0</v>
      </c>
      <c r="AH100" s="1040" t="s">
        <v>810</v>
      </c>
      <c r="AI100" s="1040" t="s">
        <v>594</v>
      </c>
      <c r="AJ100" s="1040" t="s">
        <v>571</v>
      </c>
      <c r="AK100" s="1041">
        <v>76201</v>
      </c>
      <c r="AL100" s="1040" t="s">
        <v>811</v>
      </c>
      <c r="AM100" s="1040" t="s">
        <v>812</v>
      </c>
      <c r="AN100" s="1040" t="s">
        <v>813</v>
      </c>
      <c r="AO100" s="1040">
        <v>13023000</v>
      </c>
      <c r="AP100" s="1040">
        <v>409525</v>
      </c>
    </row>
    <row r="101" spans="1:42" x14ac:dyDescent="0.3">
      <c r="A101" s="1040">
        <v>98</v>
      </c>
      <c r="B101" s="1040">
        <v>75531</v>
      </c>
      <c r="C101" s="1040" t="s">
        <v>558</v>
      </c>
      <c r="D101" s="1040" t="str">
        <f t="shared" si="3"/>
        <v>061901</v>
      </c>
      <c r="E101" s="1040" t="s">
        <v>559</v>
      </c>
      <c r="F101" s="1040" t="str">
        <f t="shared" si="4"/>
        <v>016</v>
      </c>
      <c r="G101" s="1040" t="s">
        <v>808</v>
      </c>
      <c r="H101" s="1041" t="str">
        <f>"8B"</f>
        <v>8B</v>
      </c>
      <c r="I101" s="1040" t="s">
        <v>814</v>
      </c>
      <c r="J101" s="1040">
        <v>409627</v>
      </c>
      <c r="K101" s="1045">
        <v>41396</v>
      </c>
      <c r="L101" s="1040" t="s">
        <v>561</v>
      </c>
      <c r="M101" s="1041">
        <v>2000</v>
      </c>
      <c r="N101" s="1041" t="s">
        <v>576</v>
      </c>
      <c r="O101" s="1041" t="s">
        <v>576</v>
      </c>
      <c r="P101" s="1041" t="s">
        <v>576</v>
      </c>
      <c r="Q101" s="1041" t="s">
        <v>576</v>
      </c>
      <c r="R101" s="1040">
        <v>9</v>
      </c>
      <c r="S101" s="1041">
        <v>1</v>
      </c>
      <c r="T101" s="1042">
        <v>768</v>
      </c>
      <c r="U101" s="1042">
        <v>73388</v>
      </c>
      <c r="V101" s="1042">
        <v>11242</v>
      </c>
      <c r="W101" s="1042"/>
      <c r="X101" s="1042">
        <v>96</v>
      </c>
      <c r="Y101" s="1042">
        <v>15</v>
      </c>
      <c r="Z101" s="1040" t="s">
        <v>577</v>
      </c>
      <c r="AA101" s="1040" t="s">
        <v>578</v>
      </c>
      <c r="AB101" s="1040" t="s">
        <v>579</v>
      </c>
      <c r="AC101" s="1040" t="s">
        <v>580</v>
      </c>
      <c r="AD101" s="1040" t="s">
        <v>581</v>
      </c>
      <c r="AE101" s="1054"/>
      <c r="AF101" s="1040" t="s">
        <v>582</v>
      </c>
      <c r="AG101" s="1040">
        <v>0</v>
      </c>
      <c r="AH101" s="1040" t="s">
        <v>810</v>
      </c>
      <c r="AI101" s="1040" t="s">
        <v>594</v>
      </c>
      <c r="AJ101" s="1040" t="s">
        <v>571</v>
      </c>
      <c r="AK101" s="1041">
        <v>76201</v>
      </c>
      <c r="AL101" s="1040" t="s">
        <v>815</v>
      </c>
      <c r="AM101" s="1040" t="s">
        <v>816</v>
      </c>
      <c r="AN101" s="1040" t="s">
        <v>585</v>
      </c>
      <c r="AO101" s="1040">
        <v>70000</v>
      </c>
      <c r="AP101" s="1040">
        <v>409627</v>
      </c>
    </row>
    <row r="102" spans="1:42" x14ac:dyDescent="0.3">
      <c r="A102" s="1040">
        <v>98</v>
      </c>
      <c r="B102" s="1040">
        <v>75531</v>
      </c>
      <c r="C102" s="1040" t="s">
        <v>558</v>
      </c>
      <c r="D102" s="1040" t="str">
        <f t="shared" si="3"/>
        <v>061901</v>
      </c>
      <c r="E102" s="1040" t="s">
        <v>559</v>
      </c>
      <c r="F102" s="1040" t="str">
        <f t="shared" si="4"/>
        <v>016</v>
      </c>
      <c r="G102" s="1040" t="s">
        <v>808</v>
      </c>
      <c r="H102" s="1041" t="str">
        <f>"8C"</f>
        <v>8C</v>
      </c>
      <c r="I102" s="1040" t="s">
        <v>817</v>
      </c>
      <c r="J102" s="1040">
        <v>409628</v>
      </c>
      <c r="K102" s="1045">
        <v>41396</v>
      </c>
      <c r="L102" s="1040" t="s">
        <v>561</v>
      </c>
      <c r="M102" s="1041">
        <v>2000</v>
      </c>
      <c r="N102" s="1041" t="s">
        <v>576</v>
      </c>
      <c r="O102" s="1041" t="s">
        <v>576</v>
      </c>
      <c r="P102" s="1041" t="s">
        <v>576</v>
      </c>
      <c r="Q102" s="1041" t="s">
        <v>576</v>
      </c>
      <c r="R102" s="1040">
        <v>9</v>
      </c>
      <c r="S102" s="1041">
        <v>1</v>
      </c>
      <c r="T102" s="1042">
        <v>768</v>
      </c>
      <c r="U102" s="1042">
        <v>73388</v>
      </c>
      <c r="V102" s="1042">
        <v>11242</v>
      </c>
      <c r="W102" s="1042"/>
      <c r="X102" s="1042">
        <v>96</v>
      </c>
      <c r="Y102" s="1042">
        <v>15</v>
      </c>
      <c r="Z102" s="1040" t="s">
        <v>577</v>
      </c>
      <c r="AA102" s="1040" t="s">
        <v>578</v>
      </c>
      <c r="AB102" s="1040" t="s">
        <v>579</v>
      </c>
      <c r="AC102" s="1040" t="s">
        <v>580</v>
      </c>
      <c r="AD102" s="1040" t="s">
        <v>581</v>
      </c>
      <c r="AE102" s="1054"/>
      <c r="AF102" s="1040" t="s">
        <v>582</v>
      </c>
      <c r="AG102" s="1040">
        <v>0</v>
      </c>
      <c r="AH102" s="1040" t="s">
        <v>810</v>
      </c>
      <c r="AI102" s="1040" t="s">
        <v>594</v>
      </c>
      <c r="AJ102" s="1040" t="s">
        <v>571</v>
      </c>
      <c r="AK102" s="1041">
        <v>76201</v>
      </c>
      <c r="AL102" s="1040" t="s">
        <v>818</v>
      </c>
      <c r="AM102" s="1040" t="s">
        <v>819</v>
      </c>
      <c r="AN102" s="1040" t="s">
        <v>585</v>
      </c>
      <c r="AO102" s="1040">
        <v>70000</v>
      </c>
      <c r="AP102" s="1040">
        <v>409628</v>
      </c>
    </row>
    <row r="103" spans="1:42" x14ac:dyDescent="0.3">
      <c r="A103" s="1040">
        <v>98</v>
      </c>
      <c r="B103" s="1040">
        <v>75531</v>
      </c>
      <c r="C103" s="1040" t="s">
        <v>558</v>
      </c>
      <c r="D103" s="1040" t="str">
        <f t="shared" si="3"/>
        <v>061901</v>
      </c>
      <c r="E103" s="1040" t="s">
        <v>559</v>
      </c>
      <c r="F103" s="1040" t="str">
        <f t="shared" si="4"/>
        <v>016</v>
      </c>
      <c r="G103" s="1040" t="s">
        <v>808</v>
      </c>
      <c r="H103" s="1041" t="str">
        <f>"8D"</f>
        <v>8D</v>
      </c>
      <c r="I103" s="1040" t="s">
        <v>820</v>
      </c>
      <c r="J103" s="1040">
        <v>409629</v>
      </c>
      <c r="K103" s="1045">
        <v>41396</v>
      </c>
      <c r="L103" s="1040" t="s">
        <v>561</v>
      </c>
      <c r="M103" s="1041">
        <v>2000</v>
      </c>
      <c r="N103" s="1041" t="s">
        <v>576</v>
      </c>
      <c r="O103" s="1041" t="s">
        <v>576</v>
      </c>
      <c r="P103" s="1041" t="s">
        <v>576</v>
      </c>
      <c r="Q103" s="1041" t="s">
        <v>576</v>
      </c>
      <c r="R103" s="1040">
        <v>9</v>
      </c>
      <c r="S103" s="1041">
        <v>1</v>
      </c>
      <c r="T103" s="1042">
        <v>768</v>
      </c>
      <c r="U103" s="1042">
        <v>73388</v>
      </c>
      <c r="V103" s="1042">
        <v>11242</v>
      </c>
      <c r="W103" s="1042"/>
      <c r="X103" s="1042">
        <v>96</v>
      </c>
      <c r="Y103" s="1042">
        <v>15</v>
      </c>
      <c r="Z103" s="1040" t="s">
        <v>577</v>
      </c>
      <c r="AA103" s="1040" t="s">
        <v>578</v>
      </c>
      <c r="AB103" s="1040" t="s">
        <v>579</v>
      </c>
      <c r="AC103" s="1040" t="s">
        <v>580</v>
      </c>
      <c r="AD103" s="1040" t="s">
        <v>581</v>
      </c>
      <c r="AE103" s="1054"/>
      <c r="AF103" s="1040" t="s">
        <v>582</v>
      </c>
      <c r="AG103" s="1040">
        <v>0</v>
      </c>
      <c r="AH103" s="1040" t="s">
        <v>810</v>
      </c>
      <c r="AI103" s="1040" t="s">
        <v>594</v>
      </c>
      <c r="AJ103" s="1040" t="s">
        <v>571</v>
      </c>
      <c r="AK103" s="1041">
        <v>76201</v>
      </c>
      <c r="AL103" s="1040" t="s">
        <v>821</v>
      </c>
      <c r="AM103" s="1040" t="s">
        <v>822</v>
      </c>
      <c r="AN103" s="1040" t="s">
        <v>585</v>
      </c>
      <c r="AO103" s="1040">
        <v>70000</v>
      </c>
      <c r="AP103" s="1040">
        <v>409629</v>
      </c>
    </row>
    <row r="104" spans="1:42" x14ac:dyDescent="0.3">
      <c r="A104" s="1040">
        <v>98</v>
      </c>
      <c r="B104" s="1040">
        <v>75531</v>
      </c>
      <c r="C104" s="1040" t="s">
        <v>558</v>
      </c>
      <c r="D104" s="1040" t="str">
        <f t="shared" si="3"/>
        <v>061901</v>
      </c>
      <c r="E104" s="1040" t="s">
        <v>559</v>
      </c>
      <c r="F104" s="1040" t="str">
        <f t="shared" si="4"/>
        <v>016</v>
      </c>
      <c r="G104" s="1040" t="s">
        <v>808</v>
      </c>
      <c r="H104" s="1041" t="str">
        <f>"8E"</f>
        <v>8E</v>
      </c>
      <c r="I104" s="1040" t="s">
        <v>783</v>
      </c>
      <c r="J104" s="1040">
        <v>409630</v>
      </c>
      <c r="K104" s="1045">
        <v>41396</v>
      </c>
      <c r="L104" s="1040" t="s">
        <v>561</v>
      </c>
      <c r="M104" s="1041">
        <v>2008</v>
      </c>
      <c r="N104" s="1041" t="s">
        <v>576</v>
      </c>
      <c r="O104" s="1041" t="s">
        <v>576</v>
      </c>
      <c r="P104" s="1041" t="s">
        <v>576</v>
      </c>
      <c r="Q104" s="1041" t="s">
        <v>576</v>
      </c>
      <c r="R104" s="1040">
        <v>7</v>
      </c>
      <c r="S104" s="1041">
        <v>1</v>
      </c>
      <c r="T104" s="1042">
        <v>192</v>
      </c>
      <c r="U104" s="1042">
        <v>4194</v>
      </c>
      <c r="V104" s="1042">
        <v>2026</v>
      </c>
      <c r="W104" s="1042"/>
      <c r="X104" s="1042">
        <v>22</v>
      </c>
      <c r="Y104" s="1042">
        <v>11</v>
      </c>
      <c r="Z104" s="1040" t="s">
        <v>577</v>
      </c>
      <c r="AA104" s="1040" t="s">
        <v>615</v>
      </c>
      <c r="AB104" s="1040" t="s">
        <v>606</v>
      </c>
      <c r="AC104" s="1040" t="s">
        <v>606</v>
      </c>
      <c r="AD104" s="1040" t="s">
        <v>616</v>
      </c>
      <c r="AE104" s="1041"/>
      <c r="AF104" s="1040" t="s">
        <v>582</v>
      </c>
      <c r="AG104" s="1040">
        <v>0</v>
      </c>
      <c r="AH104" s="1040" t="s">
        <v>810</v>
      </c>
      <c r="AI104" s="1040" t="s">
        <v>594</v>
      </c>
      <c r="AJ104" s="1040" t="s">
        <v>571</v>
      </c>
      <c r="AK104" s="1041">
        <v>76201</v>
      </c>
      <c r="AL104" s="1040" t="s">
        <v>823</v>
      </c>
      <c r="AM104" s="1040" t="s">
        <v>824</v>
      </c>
      <c r="AN104" s="1040"/>
      <c r="AO104" s="1040">
        <v>4000</v>
      </c>
      <c r="AP104" s="1040">
        <v>409630</v>
      </c>
    </row>
    <row r="105" spans="1:42" x14ac:dyDescent="0.3">
      <c r="A105" s="1040">
        <v>98</v>
      </c>
      <c r="B105" s="1040">
        <v>75531</v>
      </c>
      <c r="C105" s="1040" t="s">
        <v>558</v>
      </c>
      <c r="D105" s="1040" t="str">
        <f t="shared" si="3"/>
        <v>061901</v>
      </c>
      <c r="E105" s="1040" t="s">
        <v>559</v>
      </c>
      <c r="F105" s="1040" t="str">
        <f t="shared" si="4"/>
        <v>016</v>
      </c>
      <c r="G105" s="1040" t="s">
        <v>808</v>
      </c>
      <c r="H105" s="1041" t="str">
        <f>"999"</f>
        <v>999</v>
      </c>
      <c r="I105" s="1040" t="s">
        <v>586</v>
      </c>
      <c r="J105" s="1040">
        <v>409754</v>
      </c>
      <c r="K105" s="1040"/>
      <c r="L105" s="1040" t="s">
        <v>561</v>
      </c>
      <c r="M105" s="1041"/>
      <c r="N105" s="1041" t="s">
        <v>576</v>
      </c>
      <c r="O105" s="1041" t="s">
        <v>576</v>
      </c>
      <c r="P105" s="1041" t="s">
        <v>576</v>
      </c>
      <c r="Q105" s="1041" t="s">
        <v>576</v>
      </c>
      <c r="R105" s="1040">
        <v>0</v>
      </c>
      <c r="S105" s="1041">
        <v>0</v>
      </c>
      <c r="T105" s="1042"/>
      <c r="U105" s="1042"/>
      <c r="V105" s="1042"/>
      <c r="W105" s="1042">
        <v>221215</v>
      </c>
      <c r="X105" s="1042"/>
      <c r="Y105" s="1042"/>
      <c r="Z105" s="1040"/>
      <c r="AA105" s="1040"/>
      <c r="AB105" s="1040"/>
      <c r="AC105" s="1040"/>
      <c r="AD105" s="1040"/>
      <c r="AE105" s="1041"/>
      <c r="AF105" s="1040"/>
      <c r="AG105" s="1040">
        <v>0</v>
      </c>
      <c r="AH105" s="1040" t="s">
        <v>810</v>
      </c>
      <c r="AI105" s="1040" t="s">
        <v>594</v>
      </c>
      <c r="AJ105" s="1040" t="s">
        <v>571</v>
      </c>
      <c r="AK105" s="1041">
        <v>76201</v>
      </c>
      <c r="AL105" s="1040"/>
      <c r="AM105" s="1040"/>
      <c r="AN105" s="1040"/>
      <c r="AO105" s="1040">
        <v>0</v>
      </c>
      <c r="AP105" s="1040">
        <v>409754</v>
      </c>
    </row>
    <row r="106" spans="1:42" s="1059" customFormat="1" x14ac:dyDescent="0.3">
      <c r="A106" s="1056"/>
      <c r="B106" s="1056"/>
      <c r="C106" s="1056"/>
      <c r="D106" s="1056"/>
      <c r="E106" s="1056"/>
      <c r="F106" s="1056"/>
      <c r="G106" s="1056"/>
      <c r="H106" s="1057"/>
      <c r="I106" s="1056"/>
      <c r="J106" s="1056"/>
      <c r="K106" s="1056"/>
      <c r="L106" s="1056"/>
      <c r="M106" s="1057"/>
      <c r="N106" s="1057"/>
      <c r="O106" s="1057"/>
      <c r="P106" s="1057"/>
      <c r="Q106" s="1057"/>
      <c r="R106" s="1056"/>
      <c r="S106" s="1057"/>
      <c r="T106" s="1058"/>
      <c r="U106" s="1058"/>
      <c r="V106" s="1058"/>
      <c r="W106" s="1058"/>
      <c r="X106" s="1058"/>
      <c r="Y106" s="1058"/>
      <c r="Z106" s="1056"/>
      <c r="AA106" s="1056"/>
      <c r="AB106" s="1056"/>
      <c r="AC106" s="1056"/>
      <c r="AD106" s="1056"/>
      <c r="AE106" s="1057"/>
      <c r="AF106" s="1056"/>
      <c r="AG106" s="1056"/>
      <c r="AH106" s="1056"/>
      <c r="AI106" s="1056"/>
      <c r="AJ106" s="1056"/>
      <c r="AK106" s="1057"/>
      <c r="AL106" s="1056"/>
      <c r="AM106" s="1056"/>
      <c r="AN106" s="1056"/>
      <c r="AO106" s="1056"/>
      <c r="AP106" s="1056"/>
    </row>
    <row r="107" spans="1:42" s="1059" customFormat="1" x14ac:dyDescent="0.3">
      <c r="A107" s="1060"/>
      <c r="B107" s="1060"/>
      <c r="C107" s="1060"/>
      <c r="D107" s="1060"/>
      <c r="E107" s="1060"/>
      <c r="F107" s="1060"/>
      <c r="G107" s="1060"/>
      <c r="H107" s="1061"/>
      <c r="I107" s="1062" t="s">
        <v>825</v>
      </c>
      <c r="J107" s="1060"/>
      <c r="K107" s="1060"/>
      <c r="L107" s="1060"/>
      <c r="M107" s="1061"/>
      <c r="N107" s="1061"/>
      <c r="O107" s="1061"/>
      <c r="P107" s="1061"/>
      <c r="Q107" s="1061"/>
      <c r="R107" s="1060"/>
      <c r="S107" s="1061"/>
      <c r="T107" s="1063"/>
      <c r="U107" s="1063"/>
      <c r="V107" s="1063"/>
      <c r="W107" s="1063"/>
      <c r="X107" s="1063"/>
      <c r="Y107" s="1063"/>
      <c r="Z107" s="1060"/>
      <c r="AA107" s="1060"/>
      <c r="AB107" s="1060"/>
      <c r="AC107" s="1060"/>
      <c r="AD107" s="1060"/>
      <c r="AE107" s="1061"/>
      <c r="AF107" s="1060"/>
      <c r="AG107" s="1060"/>
      <c r="AH107" s="1060"/>
      <c r="AI107" s="1060"/>
      <c r="AJ107" s="1060"/>
      <c r="AK107" s="1061"/>
      <c r="AL107" s="1060"/>
      <c r="AM107" s="1060"/>
      <c r="AN107" s="1060"/>
      <c r="AO107" s="1060"/>
      <c r="AP107" s="1060"/>
    </row>
    <row r="108" spans="1:42" x14ac:dyDescent="0.3">
      <c r="A108" s="1040">
        <v>98</v>
      </c>
      <c r="B108" s="1040">
        <v>75531</v>
      </c>
      <c r="C108" s="1040" t="s">
        <v>558</v>
      </c>
      <c r="D108" s="1040" t="str">
        <f t="shared" si="3"/>
        <v>061901</v>
      </c>
      <c r="E108" s="1040" t="s">
        <v>559</v>
      </c>
      <c r="F108" s="1040" t="str">
        <f t="shared" ref="F108:F119" si="5">"017"</f>
        <v>017</v>
      </c>
      <c r="H108" s="1041" t="str">
        <f>"33A"</f>
        <v>33A</v>
      </c>
      <c r="I108" s="1040" t="s">
        <v>826</v>
      </c>
      <c r="J108" s="1040">
        <v>409578</v>
      </c>
      <c r="K108" s="1045">
        <v>41409</v>
      </c>
      <c r="L108" s="1040" t="s">
        <v>561</v>
      </c>
      <c r="M108" s="1041">
        <v>2004</v>
      </c>
      <c r="N108" s="1041" t="s">
        <v>576</v>
      </c>
      <c r="O108" s="1041" t="s">
        <v>562</v>
      </c>
      <c r="P108" s="1041" t="s">
        <v>562</v>
      </c>
      <c r="Q108" s="1041" t="s">
        <v>562</v>
      </c>
      <c r="R108" s="1040">
        <v>12</v>
      </c>
      <c r="S108" s="1041">
        <v>1</v>
      </c>
      <c r="T108" s="1042">
        <v>2800</v>
      </c>
      <c r="U108" s="1042">
        <v>320814</v>
      </c>
      <c r="V108" s="1042">
        <v>23506</v>
      </c>
      <c r="W108" s="1042"/>
      <c r="X108" s="1042">
        <v>115</v>
      </c>
      <c r="Y108" s="1042">
        <v>8</v>
      </c>
      <c r="Z108" s="1040" t="s">
        <v>563</v>
      </c>
      <c r="AA108" s="1040" t="s">
        <v>620</v>
      </c>
      <c r="AB108" s="1040" t="s">
        <v>606</v>
      </c>
      <c r="AC108" s="1040" t="s">
        <v>606</v>
      </c>
      <c r="AD108" s="1040" t="s">
        <v>581</v>
      </c>
      <c r="AE108" s="1054"/>
      <c r="AF108" s="1040" t="s">
        <v>582</v>
      </c>
      <c r="AG108" s="1040">
        <v>0</v>
      </c>
      <c r="AH108" s="1040" t="s">
        <v>827</v>
      </c>
      <c r="AI108" s="1040" t="s">
        <v>594</v>
      </c>
      <c r="AJ108" s="1040" t="s">
        <v>571</v>
      </c>
      <c r="AK108" s="1041">
        <v>76207</v>
      </c>
      <c r="AL108" s="1040" t="s">
        <v>828</v>
      </c>
      <c r="AM108" s="1040" t="s">
        <v>829</v>
      </c>
      <c r="AN108" s="1040" t="s">
        <v>830</v>
      </c>
      <c r="AO108" s="1040">
        <v>306000</v>
      </c>
      <c r="AP108" s="1040">
        <v>409578</v>
      </c>
    </row>
    <row r="109" spans="1:42" x14ac:dyDescent="0.3">
      <c r="A109" s="1040">
        <v>98</v>
      </c>
      <c r="B109" s="1040">
        <v>75531</v>
      </c>
      <c r="C109" s="1040" t="s">
        <v>558</v>
      </c>
      <c r="D109" s="1040" t="str">
        <f t="shared" si="3"/>
        <v>061901</v>
      </c>
      <c r="E109" s="1040" t="s">
        <v>559</v>
      </c>
      <c r="F109" s="1040" t="str">
        <f t="shared" si="5"/>
        <v>017</v>
      </c>
      <c r="G109" s="1040" t="s">
        <v>825</v>
      </c>
      <c r="H109" s="1041" t="str">
        <f>"33B"</f>
        <v>33B</v>
      </c>
      <c r="I109" s="1040" t="s">
        <v>831</v>
      </c>
      <c r="J109" s="1040">
        <v>409579</v>
      </c>
      <c r="K109" s="1045">
        <v>41409</v>
      </c>
      <c r="L109" s="1040" t="s">
        <v>561</v>
      </c>
      <c r="M109" s="1041">
        <v>2004</v>
      </c>
      <c r="N109" s="1041" t="s">
        <v>562</v>
      </c>
      <c r="O109" s="1041" t="s">
        <v>562</v>
      </c>
      <c r="P109" s="1041" t="s">
        <v>562</v>
      </c>
      <c r="Q109" s="1041" t="s">
        <v>562</v>
      </c>
      <c r="R109" s="1040">
        <v>12</v>
      </c>
      <c r="S109" s="1041">
        <v>1</v>
      </c>
      <c r="T109" s="1042">
        <v>2800</v>
      </c>
      <c r="U109" s="1042">
        <v>267345</v>
      </c>
      <c r="V109" s="1042">
        <v>23506</v>
      </c>
      <c r="W109" s="1042"/>
      <c r="X109" s="1042">
        <v>95</v>
      </c>
      <c r="Y109" s="1042">
        <v>8</v>
      </c>
      <c r="Z109" s="1040" t="s">
        <v>563</v>
      </c>
      <c r="AA109" s="1040" t="s">
        <v>620</v>
      </c>
      <c r="AB109" s="1040" t="s">
        <v>606</v>
      </c>
      <c r="AC109" s="1040" t="s">
        <v>606</v>
      </c>
      <c r="AD109" s="1040" t="s">
        <v>581</v>
      </c>
      <c r="AE109" s="1054"/>
      <c r="AF109" s="1040" t="s">
        <v>582</v>
      </c>
      <c r="AG109" s="1040">
        <v>0</v>
      </c>
      <c r="AH109" s="1040" t="s">
        <v>827</v>
      </c>
      <c r="AI109" s="1040" t="s">
        <v>594</v>
      </c>
      <c r="AJ109" s="1040" t="s">
        <v>571</v>
      </c>
      <c r="AK109" s="1041">
        <v>76207</v>
      </c>
      <c r="AL109" s="1040" t="s">
        <v>832</v>
      </c>
      <c r="AM109" s="1040" t="s">
        <v>833</v>
      </c>
      <c r="AN109" s="1040" t="s">
        <v>834</v>
      </c>
      <c r="AO109" s="1040">
        <v>255000</v>
      </c>
      <c r="AP109" s="1040">
        <v>409579</v>
      </c>
    </row>
    <row r="110" spans="1:42" x14ac:dyDescent="0.3">
      <c r="A110" s="1040">
        <v>98</v>
      </c>
      <c r="B110" s="1040">
        <v>75531</v>
      </c>
      <c r="C110" s="1040" t="s">
        <v>558</v>
      </c>
      <c r="D110" s="1040" t="str">
        <f t="shared" si="3"/>
        <v>061901</v>
      </c>
      <c r="E110" s="1040" t="s">
        <v>559</v>
      </c>
      <c r="F110" s="1040" t="str">
        <f t="shared" si="5"/>
        <v>017</v>
      </c>
      <c r="G110" s="1040" t="s">
        <v>825</v>
      </c>
      <c r="H110" s="1041" t="str">
        <f>"33C"</f>
        <v>33C</v>
      </c>
      <c r="I110" s="1040" t="s">
        <v>835</v>
      </c>
      <c r="J110" s="1040">
        <v>409580</v>
      </c>
      <c r="K110" s="1045">
        <v>41409</v>
      </c>
      <c r="L110" s="1040" t="s">
        <v>561</v>
      </c>
      <c r="M110" s="1041">
        <v>2004</v>
      </c>
      <c r="N110" s="1041" t="s">
        <v>562</v>
      </c>
      <c r="O110" s="1041" t="s">
        <v>562</v>
      </c>
      <c r="P110" s="1041" t="s">
        <v>562</v>
      </c>
      <c r="Q110" s="1041" t="s">
        <v>562</v>
      </c>
      <c r="R110" s="1040">
        <v>12</v>
      </c>
      <c r="S110" s="1041">
        <v>1</v>
      </c>
      <c r="T110" s="1042">
        <v>2800</v>
      </c>
      <c r="U110" s="1042">
        <v>267345</v>
      </c>
      <c r="V110" s="1042">
        <v>23506</v>
      </c>
      <c r="W110" s="1042"/>
      <c r="X110" s="1042">
        <v>95</v>
      </c>
      <c r="Y110" s="1042">
        <v>8</v>
      </c>
      <c r="Z110" s="1040" t="s">
        <v>563</v>
      </c>
      <c r="AA110" s="1040" t="s">
        <v>620</v>
      </c>
      <c r="AB110" s="1040" t="s">
        <v>606</v>
      </c>
      <c r="AC110" s="1040" t="s">
        <v>606</v>
      </c>
      <c r="AD110" s="1040" t="s">
        <v>581</v>
      </c>
      <c r="AE110" s="1054"/>
      <c r="AF110" s="1040" t="s">
        <v>582</v>
      </c>
      <c r="AG110" s="1040">
        <v>0</v>
      </c>
      <c r="AH110" s="1040" t="s">
        <v>827</v>
      </c>
      <c r="AI110" s="1040" t="s">
        <v>594</v>
      </c>
      <c r="AJ110" s="1040" t="s">
        <v>571</v>
      </c>
      <c r="AK110" s="1041">
        <v>76207</v>
      </c>
      <c r="AL110" s="1040" t="s">
        <v>836</v>
      </c>
      <c r="AM110" s="1040" t="s">
        <v>837</v>
      </c>
      <c r="AN110" s="1040" t="s">
        <v>834</v>
      </c>
      <c r="AO110" s="1040">
        <v>255000</v>
      </c>
      <c r="AP110" s="1040">
        <v>409580</v>
      </c>
    </row>
    <row r="111" spans="1:42" x14ac:dyDescent="0.3">
      <c r="A111" s="1040">
        <v>98</v>
      </c>
      <c r="B111" s="1040">
        <v>75531</v>
      </c>
      <c r="C111" s="1040" t="s">
        <v>558</v>
      </c>
      <c r="D111" s="1040" t="str">
        <f t="shared" si="3"/>
        <v>061901</v>
      </c>
      <c r="E111" s="1040" t="s">
        <v>559</v>
      </c>
      <c r="F111" s="1040" t="str">
        <f t="shared" si="5"/>
        <v>017</v>
      </c>
      <c r="G111" s="1040" t="s">
        <v>825</v>
      </c>
      <c r="H111" s="1041" t="str">
        <f>"33D"</f>
        <v>33D</v>
      </c>
      <c r="I111" s="1040" t="s">
        <v>838</v>
      </c>
      <c r="J111" s="1040">
        <v>409581</v>
      </c>
      <c r="K111" s="1045">
        <v>41409</v>
      </c>
      <c r="L111" s="1040" t="s">
        <v>561</v>
      </c>
      <c r="M111" s="1041">
        <v>2004</v>
      </c>
      <c r="N111" s="1041" t="s">
        <v>562</v>
      </c>
      <c r="O111" s="1041" t="s">
        <v>562</v>
      </c>
      <c r="P111" s="1041" t="s">
        <v>562</v>
      </c>
      <c r="Q111" s="1041" t="s">
        <v>562</v>
      </c>
      <c r="R111" s="1040">
        <v>12</v>
      </c>
      <c r="S111" s="1041">
        <v>1</v>
      </c>
      <c r="T111" s="1042">
        <v>2800</v>
      </c>
      <c r="U111" s="1042">
        <v>277829</v>
      </c>
      <c r="V111" s="1042">
        <v>23506</v>
      </c>
      <c r="W111" s="1042"/>
      <c r="X111" s="1042">
        <v>99</v>
      </c>
      <c r="Y111" s="1042">
        <v>8</v>
      </c>
      <c r="Z111" s="1040" t="s">
        <v>563</v>
      </c>
      <c r="AA111" s="1040" t="s">
        <v>620</v>
      </c>
      <c r="AB111" s="1040" t="s">
        <v>606</v>
      </c>
      <c r="AC111" s="1040" t="s">
        <v>606</v>
      </c>
      <c r="AD111" s="1040" t="s">
        <v>581</v>
      </c>
      <c r="AE111" s="1054"/>
      <c r="AF111" s="1040" t="s">
        <v>582</v>
      </c>
      <c r="AG111" s="1040">
        <v>0</v>
      </c>
      <c r="AH111" s="1040" t="s">
        <v>827</v>
      </c>
      <c r="AI111" s="1040" t="s">
        <v>594</v>
      </c>
      <c r="AJ111" s="1040" t="s">
        <v>571</v>
      </c>
      <c r="AK111" s="1041">
        <v>76207</v>
      </c>
      <c r="AL111" s="1040" t="s">
        <v>839</v>
      </c>
      <c r="AM111" s="1040" t="s">
        <v>840</v>
      </c>
      <c r="AN111" s="1040" t="s">
        <v>834</v>
      </c>
      <c r="AO111" s="1040">
        <v>265000</v>
      </c>
      <c r="AP111" s="1040">
        <v>409581</v>
      </c>
    </row>
    <row r="112" spans="1:42" x14ac:dyDescent="0.3">
      <c r="A112" s="1040">
        <v>98</v>
      </c>
      <c r="B112" s="1040">
        <v>75531</v>
      </c>
      <c r="C112" s="1040" t="s">
        <v>558</v>
      </c>
      <c r="D112" s="1040" t="str">
        <f t="shared" si="3"/>
        <v>061901</v>
      </c>
      <c r="E112" s="1040" t="s">
        <v>559</v>
      </c>
      <c r="F112" s="1040" t="str">
        <f t="shared" si="5"/>
        <v>017</v>
      </c>
      <c r="G112" s="1040" t="s">
        <v>825</v>
      </c>
      <c r="H112" s="1041" t="str">
        <f>"33E"</f>
        <v>33E</v>
      </c>
      <c r="I112" s="1040" t="s">
        <v>598</v>
      </c>
      <c r="J112" s="1040">
        <v>409582</v>
      </c>
      <c r="K112" s="1045">
        <v>41409</v>
      </c>
      <c r="L112" s="1040" t="s">
        <v>561</v>
      </c>
      <c r="M112" s="1041">
        <v>2004</v>
      </c>
      <c r="N112" s="1041" t="s">
        <v>562</v>
      </c>
      <c r="O112" s="1041" t="s">
        <v>562</v>
      </c>
      <c r="P112" s="1041" t="s">
        <v>562</v>
      </c>
      <c r="Q112" s="1041" t="s">
        <v>562</v>
      </c>
      <c r="R112" s="1040">
        <v>13</v>
      </c>
      <c r="S112" s="1041">
        <v>2</v>
      </c>
      <c r="T112" s="1042">
        <v>25208</v>
      </c>
      <c r="U112" s="1042">
        <v>3599199</v>
      </c>
      <c r="V112" s="1042">
        <v>533494</v>
      </c>
      <c r="W112" s="1042"/>
      <c r="X112" s="1042">
        <v>143</v>
      </c>
      <c r="Y112" s="1042">
        <v>21</v>
      </c>
      <c r="Z112" s="1040" t="s">
        <v>563</v>
      </c>
      <c r="AA112" s="1040" t="s">
        <v>620</v>
      </c>
      <c r="AB112" s="1040" t="s">
        <v>637</v>
      </c>
      <c r="AC112" s="1040" t="s">
        <v>638</v>
      </c>
      <c r="AD112" s="1040" t="s">
        <v>581</v>
      </c>
      <c r="AE112" s="1054"/>
      <c r="AF112" s="1040" t="s">
        <v>582</v>
      </c>
      <c r="AG112" s="1040">
        <v>0</v>
      </c>
      <c r="AH112" s="1040" t="s">
        <v>827</v>
      </c>
      <c r="AI112" s="1040" t="s">
        <v>594</v>
      </c>
      <c r="AJ112" s="1040" t="s">
        <v>571</v>
      </c>
      <c r="AK112" s="1041">
        <v>76207</v>
      </c>
      <c r="AL112" s="1040" t="s">
        <v>841</v>
      </c>
      <c r="AM112" s="1040" t="s">
        <v>842</v>
      </c>
      <c r="AN112" s="1040" t="s">
        <v>843</v>
      </c>
      <c r="AO112" s="1040">
        <v>3433000</v>
      </c>
      <c r="AP112" s="1040">
        <v>409582</v>
      </c>
    </row>
    <row r="113" spans="1:42" x14ac:dyDescent="0.3">
      <c r="A113" s="1040">
        <v>98</v>
      </c>
      <c r="B113" s="1040">
        <v>75531</v>
      </c>
      <c r="C113" s="1040" t="s">
        <v>558</v>
      </c>
      <c r="D113" s="1040" t="str">
        <f t="shared" si="3"/>
        <v>061901</v>
      </c>
      <c r="E113" s="1040" t="s">
        <v>559</v>
      </c>
      <c r="F113" s="1040" t="str">
        <f t="shared" si="5"/>
        <v>017</v>
      </c>
      <c r="G113" s="1040" t="s">
        <v>825</v>
      </c>
      <c r="H113" s="1041" t="str">
        <f>"33F"</f>
        <v>33F</v>
      </c>
      <c r="I113" s="1040" t="s">
        <v>844</v>
      </c>
      <c r="J113" s="1040">
        <v>409583</v>
      </c>
      <c r="K113" s="1045">
        <v>41409</v>
      </c>
      <c r="L113" s="1040" t="s">
        <v>561</v>
      </c>
      <c r="M113" s="1041">
        <v>2004</v>
      </c>
      <c r="N113" s="1041" t="s">
        <v>562</v>
      </c>
      <c r="O113" s="1041" t="s">
        <v>562</v>
      </c>
      <c r="P113" s="1041" t="s">
        <v>562</v>
      </c>
      <c r="Q113" s="1041" t="s">
        <v>562</v>
      </c>
      <c r="R113" s="1040">
        <v>20</v>
      </c>
      <c r="S113" s="1041">
        <v>4</v>
      </c>
      <c r="T113" s="1042">
        <v>36418</v>
      </c>
      <c r="U113" s="1042">
        <v>6269505</v>
      </c>
      <c r="V113" s="1042">
        <v>770604</v>
      </c>
      <c r="W113" s="1042"/>
      <c r="X113" s="1042">
        <v>172</v>
      </c>
      <c r="Y113" s="1042">
        <v>21</v>
      </c>
      <c r="Z113" s="1040" t="s">
        <v>845</v>
      </c>
      <c r="AA113" s="1040" t="s">
        <v>846</v>
      </c>
      <c r="AB113" s="1040" t="s">
        <v>565</v>
      </c>
      <c r="AC113" s="1040" t="s">
        <v>566</v>
      </c>
      <c r="AD113" s="1040" t="s">
        <v>591</v>
      </c>
      <c r="AE113" s="1041"/>
      <c r="AF113" s="1040" t="s">
        <v>592</v>
      </c>
      <c r="AG113" s="1040">
        <v>1</v>
      </c>
      <c r="AH113" s="1040" t="s">
        <v>827</v>
      </c>
      <c r="AI113" s="1040" t="s">
        <v>594</v>
      </c>
      <c r="AJ113" s="1040" t="s">
        <v>571</v>
      </c>
      <c r="AK113" s="1041">
        <v>76207</v>
      </c>
      <c r="AL113" s="1040" t="s">
        <v>847</v>
      </c>
      <c r="AM113" s="1040" t="s">
        <v>848</v>
      </c>
      <c r="AN113" s="1040" t="s">
        <v>849</v>
      </c>
      <c r="AO113" s="1040">
        <v>5980000</v>
      </c>
      <c r="AP113" s="1040">
        <v>409583</v>
      </c>
    </row>
    <row r="114" spans="1:42" x14ac:dyDescent="0.3">
      <c r="A114" s="1040">
        <v>98</v>
      </c>
      <c r="B114" s="1040">
        <v>75531</v>
      </c>
      <c r="C114" s="1040" t="s">
        <v>558</v>
      </c>
      <c r="D114" s="1040" t="str">
        <f t="shared" si="3"/>
        <v>061901</v>
      </c>
      <c r="E114" s="1040" t="s">
        <v>559</v>
      </c>
      <c r="F114" s="1040" t="str">
        <f t="shared" si="5"/>
        <v>017</v>
      </c>
      <c r="G114" s="1040" t="s">
        <v>825</v>
      </c>
      <c r="H114" s="1041" t="str">
        <f>"33G"</f>
        <v>33G</v>
      </c>
      <c r="I114" s="1040" t="s">
        <v>850</v>
      </c>
      <c r="J114" s="1040">
        <v>409631</v>
      </c>
      <c r="K114" s="1045">
        <v>41409</v>
      </c>
      <c r="L114" s="1040" t="s">
        <v>561</v>
      </c>
      <c r="M114" s="1041">
        <v>2004</v>
      </c>
      <c r="N114" s="1041" t="s">
        <v>576</v>
      </c>
      <c r="O114" s="1041" t="s">
        <v>576</v>
      </c>
      <c r="P114" s="1041" t="s">
        <v>576</v>
      </c>
      <c r="Q114" s="1041" t="s">
        <v>576</v>
      </c>
      <c r="R114" s="1040">
        <v>9</v>
      </c>
      <c r="S114" s="1041">
        <v>1</v>
      </c>
      <c r="T114" s="1042">
        <v>112</v>
      </c>
      <c r="U114" s="1042">
        <v>13629</v>
      </c>
      <c r="V114" s="1042">
        <v>0</v>
      </c>
      <c r="W114" s="1042"/>
      <c r="X114" s="1042">
        <v>122</v>
      </c>
      <c r="Y114" s="1042">
        <v>0</v>
      </c>
      <c r="Z114" s="1040" t="s">
        <v>563</v>
      </c>
      <c r="AA114" s="1040" t="s">
        <v>620</v>
      </c>
      <c r="AB114" s="1040" t="s">
        <v>606</v>
      </c>
      <c r="AC114" s="1040" t="s">
        <v>606</v>
      </c>
      <c r="AD114" s="1040" t="s">
        <v>581</v>
      </c>
      <c r="AE114" s="1054"/>
      <c r="AF114" s="1040" t="s">
        <v>582</v>
      </c>
      <c r="AG114" s="1040">
        <v>0</v>
      </c>
      <c r="AH114" s="1040" t="s">
        <v>827</v>
      </c>
      <c r="AI114" s="1040" t="s">
        <v>594</v>
      </c>
      <c r="AJ114" s="1040" t="s">
        <v>571</v>
      </c>
      <c r="AK114" s="1041">
        <v>76207</v>
      </c>
      <c r="AL114" s="1040" t="s">
        <v>851</v>
      </c>
      <c r="AM114" s="1040" t="s">
        <v>852</v>
      </c>
      <c r="AN114" s="1040" t="s">
        <v>689</v>
      </c>
      <c r="AO114" s="1040">
        <v>13000</v>
      </c>
      <c r="AP114" s="1040">
        <v>409631</v>
      </c>
    </row>
    <row r="115" spans="1:42" x14ac:dyDescent="0.3">
      <c r="A115" s="1040">
        <v>98</v>
      </c>
      <c r="B115" s="1040">
        <v>75531</v>
      </c>
      <c r="C115" s="1040" t="s">
        <v>558</v>
      </c>
      <c r="D115" s="1040" t="str">
        <f t="shared" si="3"/>
        <v>061901</v>
      </c>
      <c r="E115" s="1040" t="s">
        <v>559</v>
      </c>
      <c r="F115" s="1040" t="str">
        <f t="shared" si="5"/>
        <v>017</v>
      </c>
      <c r="G115" s="1040" t="s">
        <v>825</v>
      </c>
      <c r="H115" s="1041" t="str">
        <f>"33H"</f>
        <v>33H</v>
      </c>
      <c r="I115" s="1040" t="s">
        <v>853</v>
      </c>
      <c r="J115" s="1040">
        <v>409632</v>
      </c>
      <c r="K115" s="1045">
        <v>41409</v>
      </c>
      <c r="L115" s="1040" t="s">
        <v>561</v>
      </c>
      <c r="M115" s="1041">
        <v>2004</v>
      </c>
      <c r="N115" s="1041" t="s">
        <v>576</v>
      </c>
      <c r="O115" s="1041" t="s">
        <v>576</v>
      </c>
      <c r="P115" s="1041" t="s">
        <v>576</v>
      </c>
      <c r="Q115" s="1041" t="s">
        <v>576</v>
      </c>
      <c r="R115" s="1040">
        <v>9</v>
      </c>
      <c r="S115" s="1041">
        <v>1</v>
      </c>
      <c r="T115" s="1042">
        <v>112</v>
      </c>
      <c r="U115" s="1042">
        <v>13629</v>
      </c>
      <c r="V115" s="1042">
        <v>0</v>
      </c>
      <c r="W115" s="1042"/>
      <c r="X115" s="1042">
        <v>122</v>
      </c>
      <c r="Y115" s="1042">
        <v>0</v>
      </c>
      <c r="Z115" s="1040" t="s">
        <v>563</v>
      </c>
      <c r="AA115" s="1040" t="s">
        <v>620</v>
      </c>
      <c r="AB115" s="1040" t="s">
        <v>606</v>
      </c>
      <c r="AC115" s="1040" t="s">
        <v>606</v>
      </c>
      <c r="AD115" s="1040" t="s">
        <v>581</v>
      </c>
      <c r="AE115" s="1054"/>
      <c r="AF115" s="1040" t="s">
        <v>582</v>
      </c>
      <c r="AG115" s="1040">
        <v>0</v>
      </c>
      <c r="AH115" s="1040" t="s">
        <v>827</v>
      </c>
      <c r="AI115" s="1040" t="s">
        <v>594</v>
      </c>
      <c r="AJ115" s="1040" t="s">
        <v>571</v>
      </c>
      <c r="AK115" s="1041">
        <v>76207</v>
      </c>
      <c r="AL115" s="1040" t="s">
        <v>836</v>
      </c>
      <c r="AM115" s="1040" t="s">
        <v>837</v>
      </c>
      <c r="AN115" s="1040" t="s">
        <v>689</v>
      </c>
      <c r="AO115" s="1040">
        <v>13000</v>
      </c>
      <c r="AP115" s="1040">
        <v>409632</v>
      </c>
    </row>
    <row r="116" spans="1:42" x14ac:dyDescent="0.3">
      <c r="A116" s="1040">
        <v>98</v>
      </c>
      <c r="B116" s="1040">
        <v>75531</v>
      </c>
      <c r="C116" s="1040" t="s">
        <v>558</v>
      </c>
      <c r="D116" s="1040" t="str">
        <f t="shared" si="3"/>
        <v>061901</v>
      </c>
      <c r="E116" s="1040" t="s">
        <v>559</v>
      </c>
      <c r="F116" s="1040" t="str">
        <f t="shared" si="5"/>
        <v>017</v>
      </c>
      <c r="G116" s="1040" t="s">
        <v>825</v>
      </c>
      <c r="H116" s="1041" t="str">
        <f>"33I"</f>
        <v>33I</v>
      </c>
      <c r="I116" s="1040" t="s">
        <v>854</v>
      </c>
      <c r="J116" s="1040">
        <v>409633</v>
      </c>
      <c r="K116" s="1045">
        <v>41409</v>
      </c>
      <c r="L116" s="1040" t="s">
        <v>561</v>
      </c>
      <c r="M116" s="1041">
        <v>2004</v>
      </c>
      <c r="N116" s="1041" t="s">
        <v>576</v>
      </c>
      <c r="O116" s="1041" t="s">
        <v>576</v>
      </c>
      <c r="P116" s="1041" t="s">
        <v>576</v>
      </c>
      <c r="Q116" s="1041" t="s">
        <v>576</v>
      </c>
      <c r="R116" s="1040">
        <v>9</v>
      </c>
      <c r="S116" s="1041">
        <v>1</v>
      </c>
      <c r="T116" s="1042">
        <v>112</v>
      </c>
      <c r="U116" s="1042">
        <v>13629</v>
      </c>
      <c r="V116" s="1042">
        <v>0</v>
      </c>
      <c r="W116" s="1042"/>
      <c r="X116" s="1042">
        <v>122</v>
      </c>
      <c r="Y116" s="1042">
        <v>0</v>
      </c>
      <c r="Z116" s="1040" t="s">
        <v>563</v>
      </c>
      <c r="AA116" s="1040" t="s">
        <v>620</v>
      </c>
      <c r="AB116" s="1040" t="s">
        <v>606</v>
      </c>
      <c r="AC116" s="1040" t="s">
        <v>606</v>
      </c>
      <c r="AD116" s="1040" t="s">
        <v>581</v>
      </c>
      <c r="AE116" s="1054"/>
      <c r="AF116" s="1040" t="s">
        <v>582</v>
      </c>
      <c r="AG116" s="1040">
        <v>0</v>
      </c>
      <c r="AH116" s="1040" t="s">
        <v>827</v>
      </c>
      <c r="AI116" s="1040" t="s">
        <v>594</v>
      </c>
      <c r="AJ116" s="1040" t="s">
        <v>571</v>
      </c>
      <c r="AK116" s="1041">
        <v>76207</v>
      </c>
      <c r="AL116" s="1040" t="s">
        <v>832</v>
      </c>
      <c r="AM116" s="1040" t="s">
        <v>855</v>
      </c>
      <c r="AN116" s="1040" t="s">
        <v>689</v>
      </c>
      <c r="AO116" s="1040">
        <v>13000</v>
      </c>
      <c r="AP116" s="1040">
        <v>409633</v>
      </c>
    </row>
    <row r="117" spans="1:42" x14ac:dyDescent="0.3">
      <c r="A117" s="1040">
        <v>98</v>
      </c>
      <c r="B117" s="1040">
        <v>75531</v>
      </c>
      <c r="C117" s="1040" t="s">
        <v>558</v>
      </c>
      <c r="D117" s="1040" t="str">
        <f t="shared" si="3"/>
        <v>061901</v>
      </c>
      <c r="E117" s="1040" t="s">
        <v>559</v>
      </c>
      <c r="F117" s="1040" t="str">
        <f t="shared" si="5"/>
        <v>017</v>
      </c>
      <c r="G117" s="1040" t="s">
        <v>825</v>
      </c>
      <c r="H117" s="1041" t="str">
        <f>"33J"</f>
        <v>33J</v>
      </c>
      <c r="I117" s="1040" t="s">
        <v>856</v>
      </c>
      <c r="J117" s="1040">
        <v>409634</v>
      </c>
      <c r="K117" s="1045">
        <v>41409</v>
      </c>
      <c r="L117" s="1040" t="s">
        <v>561</v>
      </c>
      <c r="M117" s="1041">
        <v>2004</v>
      </c>
      <c r="N117" s="1041" t="s">
        <v>576</v>
      </c>
      <c r="O117" s="1041" t="s">
        <v>576</v>
      </c>
      <c r="P117" s="1041" t="s">
        <v>576</v>
      </c>
      <c r="Q117" s="1041" t="s">
        <v>576</v>
      </c>
      <c r="R117" s="1040">
        <v>9</v>
      </c>
      <c r="S117" s="1041">
        <v>1</v>
      </c>
      <c r="T117" s="1042">
        <v>112</v>
      </c>
      <c r="U117" s="1042">
        <v>13629</v>
      </c>
      <c r="V117" s="1042">
        <v>0</v>
      </c>
      <c r="W117" s="1042"/>
      <c r="X117" s="1042">
        <v>122</v>
      </c>
      <c r="Y117" s="1042">
        <v>0</v>
      </c>
      <c r="Z117" s="1040" t="s">
        <v>563</v>
      </c>
      <c r="AA117" s="1040" t="s">
        <v>620</v>
      </c>
      <c r="AB117" s="1040" t="s">
        <v>606</v>
      </c>
      <c r="AC117" s="1040" t="s">
        <v>606</v>
      </c>
      <c r="AD117" s="1040" t="s">
        <v>581</v>
      </c>
      <c r="AE117" s="1054"/>
      <c r="AF117" s="1040" t="s">
        <v>582</v>
      </c>
      <c r="AG117" s="1040">
        <v>0</v>
      </c>
      <c r="AH117" s="1040" t="s">
        <v>827</v>
      </c>
      <c r="AI117" s="1040" t="s">
        <v>594</v>
      </c>
      <c r="AJ117" s="1040" t="s">
        <v>571</v>
      </c>
      <c r="AK117" s="1041">
        <v>76207</v>
      </c>
      <c r="AL117" s="1040" t="s">
        <v>857</v>
      </c>
      <c r="AM117" s="1040" t="s">
        <v>858</v>
      </c>
      <c r="AN117" s="1040" t="s">
        <v>689</v>
      </c>
      <c r="AO117" s="1040">
        <v>13000</v>
      </c>
      <c r="AP117" s="1040">
        <v>409634</v>
      </c>
    </row>
    <row r="118" spans="1:42" x14ac:dyDescent="0.3">
      <c r="A118" s="1040">
        <v>98</v>
      </c>
      <c r="B118" s="1040">
        <v>75531</v>
      </c>
      <c r="C118" s="1040" t="s">
        <v>558</v>
      </c>
      <c r="D118" s="1040" t="str">
        <f t="shared" si="3"/>
        <v>061901</v>
      </c>
      <c r="E118" s="1040" t="s">
        <v>559</v>
      </c>
      <c r="F118" s="1040" t="str">
        <f t="shared" si="5"/>
        <v>017</v>
      </c>
      <c r="G118" s="1040" t="s">
        <v>825</v>
      </c>
      <c r="H118" s="1041" t="str">
        <f>"33K"</f>
        <v>33K</v>
      </c>
      <c r="I118" s="1040" t="s">
        <v>859</v>
      </c>
      <c r="J118" s="1040">
        <v>409584</v>
      </c>
      <c r="K118" s="1045">
        <v>41409</v>
      </c>
      <c r="L118" s="1040" t="s">
        <v>561</v>
      </c>
      <c r="M118" s="1041">
        <v>2007</v>
      </c>
      <c r="N118" s="1041" t="s">
        <v>562</v>
      </c>
      <c r="O118" s="1041" t="s">
        <v>562</v>
      </c>
      <c r="P118" s="1041" t="s">
        <v>562</v>
      </c>
      <c r="Q118" s="1041" t="s">
        <v>562</v>
      </c>
      <c r="R118" s="1040">
        <v>28</v>
      </c>
      <c r="S118" s="1041">
        <v>1</v>
      </c>
      <c r="T118" s="1042">
        <v>28934</v>
      </c>
      <c r="U118" s="1042">
        <v>5230528</v>
      </c>
      <c r="V118" s="1042">
        <v>149215</v>
      </c>
      <c r="W118" s="1042"/>
      <c r="X118" s="1042">
        <v>181</v>
      </c>
      <c r="Y118" s="1042">
        <v>5</v>
      </c>
      <c r="Z118" s="1040" t="s">
        <v>563</v>
      </c>
      <c r="AA118" s="1040" t="s">
        <v>860</v>
      </c>
      <c r="AB118" s="1040" t="s">
        <v>637</v>
      </c>
      <c r="AC118" s="1040" t="s">
        <v>638</v>
      </c>
      <c r="AD118" s="1040" t="s">
        <v>861</v>
      </c>
      <c r="AE118" s="1041"/>
      <c r="AF118" s="1040" t="s">
        <v>862</v>
      </c>
      <c r="AG118" s="1040">
        <v>0</v>
      </c>
      <c r="AH118" s="1040" t="s">
        <v>827</v>
      </c>
      <c r="AI118" s="1040" t="s">
        <v>594</v>
      </c>
      <c r="AJ118" s="1040" t="s">
        <v>571</v>
      </c>
      <c r="AK118" s="1041">
        <v>76207</v>
      </c>
      <c r="AL118" s="1040" t="s">
        <v>851</v>
      </c>
      <c r="AM118" s="1040" t="s">
        <v>863</v>
      </c>
      <c r="AN118" s="1040" t="s">
        <v>864</v>
      </c>
      <c r="AO118" s="1040">
        <v>4989000</v>
      </c>
      <c r="AP118" s="1040">
        <v>409584</v>
      </c>
    </row>
    <row r="119" spans="1:42" x14ac:dyDescent="0.3">
      <c r="A119" s="1040">
        <v>98</v>
      </c>
      <c r="B119" s="1040">
        <v>75531</v>
      </c>
      <c r="C119" s="1040" t="s">
        <v>558</v>
      </c>
      <c r="D119" s="1040" t="str">
        <f t="shared" si="3"/>
        <v>061901</v>
      </c>
      <c r="E119" s="1040" t="s">
        <v>559</v>
      </c>
      <c r="F119" s="1040" t="str">
        <f t="shared" si="5"/>
        <v>017</v>
      </c>
      <c r="G119" s="1040" t="s">
        <v>825</v>
      </c>
      <c r="H119" s="1041" t="str">
        <f>"999"</f>
        <v>999</v>
      </c>
      <c r="I119" s="1040" t="s">
        <v>586</v>
      </c>
      <c r="J119" s="1040">
        <v>409785</v>
      </c>
      <c r="K119" s="1040"/>
      <c r="L119" s="1040" t="s">
        <v>561</v>
      </c>
      <c r="M119" s="1041"/>
      <c r="N119" s="1041" t="s">
        <v>576</v>
      </c>
      <c r="O119" s="1041" t="s">
        <v>576</v>
      </c>
      <c r="P119" s="1041" t="s">
        <v>576</v>
      </c>
      <c r="Q119" s="1041" t="s">
        <v>576</v>
      </c>
      <c r="R119" s="1040">
        <v>0</v>
      </c>
      <c r="S119" s="1041">
        <v>0</v>
      </c>
      <c r="T119" s="1042"/>
      <c r="U119" s="1042"/>
      <c r="V119" s="1042"/>
      <c r="W119" s="1042">
        <v>4274377</v>
      </c>
      <c r="X119" s="1042"/>
      <c r="Y119" s="1042"/>
      <c r="Z119" s="1040"/>
      <c r="AA119" s="1040"/>
      <c r="AB119" s="1040"/>
      <c r="AC119" s="1040"/>
      <c r="AD119" s="1040"/>
      <c r="AE119" s="1041"/>
      <c r="AF119" s="1040"/>
      <c r="AG119" s="1040">
        <v>0</v>
      </c>
      <c r="AH119" s="1040" t="s">
        <v>827</v>
      </c>
      <c r="AI119" s="1040" t="s">
        <v>594</v>
      </c>
      <c r="AJ119" s="1040" t="s">
        <v>571</v>
      </c>
      <c r="AK119" s="1041">
        <v>76207</v>
      </c>
      <c r="AL119" s="1040"/>
      <c r="AM119" s="1040"/>
      <c r="AN119" s="1040" t="s">
        <v>689</v>
      </c>
      <c r="AO119" s="1040">
        <v>0</v>
      </c>
      <c r="AP119" s="1040">
        <v>409785</v>
      </c>
    </row>
    <row r="120" spans="1:42" s="1059" customFormat="1" x14ac:dyDescent="0.3">
      <c r="A120" s="1056"/>
      <c r="B120" s="1056"/>
      <c r="C120" s="1056"/>
      <c r="D120" s="1056"/>
      <c r="E120" s="1056"/>
      <c r="F120" s="1056"/>
      <c r="G120" s="1056"/>
      <c r="H120" s="1057"/>
      <c r="I120" s="1056"/>
      <c r="J120" s="1056"/>
      <c r="K120" s="1056"/>
      <c r="L120" s="1056"/>
      <c r="M120" s="1057"/>
      <c r="N120" s="1057"/>
      <c r="O120" s="1057"/>
      <c r="P120" s="1057"/>
      <c r="Q120" s="1057"/>
      <c r="R120" s="1056"/>
      <c r="S120" s="1057"/>
      <c r="T120" s="1058"/>
      <c r="U120" s="1058"/>
      <c r="V120" s="1058"/>
      <c r="W120" s="1058"/>
      <c r="X120" s="1058"/>
      <c r="Y120" s="1058"/>
      <c r="Z120" s="1056"/>
      <c r="AA120" s="1056"/>
      <c r="AB120" s="1056"/>
      <c r="AC120" s="1056"/>
      <c r="AD120" s="1056"/>
      <c r="AE120" s="1057"/>
      <c r="AF120" s="1056"/>
      <c r="AG120" s="1056"/>
      <c r="AH120" s="1056"/>
      <c r="AI120" s="1056"/>
      <c r="AJ120" s="1056"/>
      <c r="AK120" s="1057"/>
      <c r="AL120" s="1056"/>
      <c r="AM120" s="1056"/>
      <c r="AN120" s="1056"/>
      <c r="AO120" s="1056"/>
      <c r="AP120" s="1056"/>
    </row>
    <row r="121" spans="1:42" s="1059" customFormat="1" x14ac:dyDescent="0.3">
      <c r="A121" s="1060"/>
      <c r="B121" s="1060"/>
      <c r="C121" s="1060"/>
      <c r="D121" s="1060"/>
      <c r="E121" s="1060"/>
      <c r="F121" s="1060"/>
      <c r="G121" s="1060"/>
      <c r="H121" s="1061"/>
      <c r="I121" s="1062" t="s">
        <v>865</v>
      </c>
      <c r="J121" s="1060"/>
      <c r="K121" s="1060"/>
      <c r="L121" s="1060"/>
      <c r="M121" s="1061"/>
      <c r="N121" s="1061"/>
      <c r="O121" s="1061"/>
      <c r="P121" s="1061"/>
      <c r="Q121" s="1061"/>
      <c r="R121" s="1060"/>
      <c r="S121" s="1061"/>
      <c r="T121" s="1063"/>
      <c r="U121" s="1063"/>
      <c r="V121" s="1063"/>
      <c r="W121" s="1063"/>
      <c r="X121" s="1063"/>
      <c r="Y121" s="1063"/>
      <c r="Z121" s="1060"/>
      <c r="AA121" s="1060"/>
      <c r="AB121" s="1060"/>
      <c r="AC121" s="1060"/>
      <c r="AD121" s="1060"/>
      <c r="AE121" s="1061"/>
      <c r="AF121" s="1060"/>
      <c r="AG121" s="1060"/>
      <c r="AH121" s="1060"/>
      <c r="AI121" s="1060"/>
      <c r="AJ121" s="1060"/>
      <c r="AK121" s="1061"/>
      <c r="AL121" s="1060"/>
      <c r="AM121" s="1060"/>
      <c r="AN121" s="1060"/>
      <c r="AO121" s="1060"/>
      <c r="AP121" s="1060"/>
    </row>
    <row r="122" spans="1:42" x14ac:dyDescent="0.3">
      <c r="A122" s="1040">
        <v>98</v>
      </c>
      <c r="B122" s="1040">
        <v>75531</v>
      </c>
      <c r="C122" s="1040" t="s">
        <v>558</v>
      </c>
      <c r="D122" s="1040" t="str">
        <f t="shared" si="3"/>
        <v>061901</v>
      </c>
      <c r="E122" s="1040" t="s">
        <v>559</v>
      </c>
      <c r="F122" s="1040" t="str">
        <f>"018"</f>
        <v>018</v>
      </c>
      <c r="H122" s="1041" t="str">
        <f>"39A"</f>
        <v>39A</v>
      </c>
      <c r="I122" s="1040" t="s">
        <v>866</v>
      </c>
      <c r="J122" s="1040">
        <v>409566</v>
      </c>
      <c r="K122" s="1045">
        <v>41409</v>
      </c>
      <c r="L122" s="1040" t="s">
        <v>561</v>
      </c>
      <c r="M122" s="1041">
        <v>2006</v>
      </c>
      <c r="N122" s="1041" t="s">
        <v>562</v>
      </c>
      <c r="O122" s="1041" t="s">
        <v>562</v>
      </c>
      <c r="P122" s="1041" t="s">
        <v>562</v>
      </c>
      <c r="Q122" s="1041" t="s">
        <v>562</v>
      </c>
      <c r="R122" s="1040">
        <v>15</v>
      </c>
      <c r="S122" s="1041">
        <v>2</v>
      </c>
      <c r="T122" s="1042">
        <v>117123</v>
      </c>
      <c r="U122" s="1042">
        <v>23664761</v>
      </c>
      <c r="V122" s="1042">
        <v>4892410</v>
      </c>
      <c r="W122" s="1042"/>
      <c r="X122" s="1042">
        <v>202</v>
      </c>
      <c r="Y122" s="1042">
        <v>42</v>
      </c>
      <c r="Z122" s="1040" t="s">
        <v>563</v>
      </c>
      <c r="AA122" s="1040" t="s">
        <v>867</v>
      </c>
      <c r="AB122" s="1040" t="s">
        <v>565</v>
      </c>
      <c r="AC122" s="1040" t="s">
        <v>566</v>
      </c>
      <c r="AD122" s="1040" t="s">
        <v>591</v>
      </c>
      <c r="AE122" s="1041"/>
      <c r="AF122" s="1040" t="s">
        <v>592</v>
      </c>
      <c r="AG122" s="1040">
        <v>1</v>
      </c>
      <c r="AH122" s="1040" t="s">
        <v>868</v>
      </c>
      <c r="AI122" s="1040" t="s">
        <v>594</v>
      </c>
      <c r="AJ122" s="1040" t="s">
        <v>571</v>
      </c>
      <c r="AK122" s="1041">
        <v>76207</v>
      </c>
      <c r="AL122" s="1040" t="s">
        <v>869</v>
      </c>
      <c r="AM122" s="1040" t="s">
        <v>870</v>
      </c>
      <c r="AN122" s="1040" t="s">
        <v>871</v>
      </c>
      <c r="AO122" s="1040">
        <v>22572000</v>
      </c>
      <c r="AP122" s="1040">
        <v>409566</v>
      </c>
    </row>
    <row r="123" spans="1:42" x14ac:dyDescent="0.3">
      <c r="A123" s="1040">
        <v>98</v>
      </c>
      <c r="B123" s="1040">
        <v>75531</v>
      </c>
      <c r="C123" s="1040" t="s">
        <v>558</v>
      </c>
      <c r="D123" s="1040" t="str">
        <f t="shared" si="3"/>
        <v>061901</v>
      </c>
      <c r="E123" s="1040" t="s">
        <v>559</v>
      </c>
      <c r="F123" s="1040" t="str">
        <f>"018"</f>
        <v>018</v>
      </c>
      <c r="G123" s="1040" t="s">
        <v>865</v>
      </c>
      <c r="H123" s="1041" t="str">
        <f>"999"</f>
        <v>999</v>
      </c>
      <c r="I123" s="1040" t="s">
        <v>586</v>
      </c>
      <c r="J123" s="1040">
        <v>409775</v>
      </c>
      <c r="K123" s="1040"/>
      <c r="L123" s="1040" t="s">
        <v>561</v>
      </c>
      <c r="M123" s="1041"/>
      <c r="N123" s="1041" t="s">
        <v>576</v>
      </c>
      <c r="O123" s="1041" t="s">
        <v>576</v>
      </c>
      <c r="P123" s="1041" t="s">
        <v>576</v>
      </c>
      <c r="Q123" s="1041" t="s">
        <v>576</v>
      </c>
      <c r="R123" s="1040">
        <v>0</v>
      </c>
      <c r="S123" s="1041">
        <v>0</v>
      </c>
      <c r="T123" s="1042"/>
      <c r="U123" s="1042"/>
      <c r="V123" s="1042"/>
      <c r="W123" s="1042">
        <v>267345</v>
      </c>
      <c r="X123" s="1042"/>
      <c r="Y123" s="1042"/>
      <c r="Z123" s="1040"/>
      <c r="AA123" s="1040"/>
      <c r="AB123" s="1040"/>
      <c r="AC123" s="1040"/>
      <c r="AD123" s="1040"/>
      <c r="AE123" s="1041"/>
      <c r="AF123" s="1040"/>
      <c r="AG123" s="1040">
        <v>0</v>
      </c>
      <c r="AH123" s="1040" t="s">
        <v>868</v>
      </c>
      <c r="AI123" s="1040" t="s">
        <v>594</v>
      </c>
      <c r="AJ123" s="1040" t="s">
        <v>571</v>
      </c>
      <c r="AK123" s="1041">
        <v>76207</v>
      </c>
      <c r="AL123" s="1040"/>
      <c r="AM123" s="1040"/>
      <c r="AN123" s="1040" t="s">
        <v>689</v>
      </c>
      <c r="AO123" s="1040">
        <v>0</v>
      </c>
      <c r="AP123" s="1040">
        <v>409775</v>
      </c>
    </row>
    <row r="124" spans="1:42" s="1059" customFormat="1" x14ac:dyDescent="0.3">
      <c r="A124" s="1056"/>
      <c r="B124" s="1056"/>
      <c r="C124" s="1056"/>
      <c r="D124" s="1056"/>
      <c r="E124" s="1056"/>
      <c r="F124" s="1056"/>
      <c r="G124" s="1056"/>
      <c r="H124" s="1057"/>
      <c r="I124" s="1056"/>
      <c r="J124" s="1056"/>
      <c r="K124" s="1056"/>
      <c r="L124" s="1056"/>
      <c r="M124" s="1057"/>
      <c r="N124" s="1057"/>
      <c r="O124" s="1057"/>
      <c r="P124" s="1057"/>
      <c r="Q124" s="1057"/>
      <c r="R124" s="1056"/>
      <c r="S124" s="1057"/>
      <c r="T124" s="1058"/>
      <c r="U124" s="1058"/>
      <c r="V124" s="1058"/>
      <c r="W124" s="1058"/>
      <c r="X124" s="1058"/>
      <c r="Y124" s="1058"/>
      <c r="Z124" s="1056"/>
      <c r="AA124" s="1056"/>
      <c r="AB124" s="1056"/>
      <c r="AC124" s="1056"/>
      <c r="AD124" s="1056"/>
      <c r="AE124" s="1057"/>
      <c r="AF124" s="1056"/>
      <c r="AG124" s="1056"/>
      <c r="AH124" s="1056"/>
      <c r="AI124" s="1056"/>
      <c r="AJ124" s="1056"/>
      <c r="AK124" s="1057"/>
      <c r="AL124" s="1056"/>
      <c r="AM124" s="1056"/>
      <c r="AN124" s="1056"/>
      <c r="AO124" s="1056"/>
      <c r="AP124" s="1056"/>
    </row>
    <row r="125" spans="1:42" s="1059" customFormat="1" x14ac:dyDescent="0.3">
      <c r="A125" s="1060"/>
      <c r="B125" s="1060"/>
      <c r="C125" s="1060"/>
      <c r="D125" s="1060"/>
      <c r="E125" s="1060"/>
      <c r="F125" s="1060"/>
      <c r="G125" s="1060"/>
      <c r="H125" s="1061"/>
      <c r="I125" s="1062" t="s">
        <v>872</v>
      </c>
      <c r="J125" s="1060"/>
      <c r="K125" s="1060"/>
      <c r="L125" s="1060"/>
      <c r="M125" s="1061"/>
      <c r="N125" s="1061"/>
      <c r="O125" s="1061"/>
      <c r="P125" s="1061"/>
      <c r="Q125" s="1061"/>
      <c r="R125" s="1060"/>
      <c r="S125" s="1061"/>
      <c r="T125" s="1063"/>
      <c r="U125" s="1063"/>
      <c r="V125" s="1063"/>
      <c r="W125" s="1063"/>
      <c r="X125" s="1063"/>
      <c r="Y125" s="1063"/>
      <c r="Z125" s="1060"/>
      <c r="AA125" s="1060"/>
      <c r="AB125" s="1060"/>
      <c r="AC125" s="1060"/>
      <c r="AD125" s="1060"/>
      <c r="AE125" s="1061"/>
      <c r="AF125" s="1060"/>
      <c r="AG125" s="1060"/>
      <c r="AH125" s="1060"/>
      <c r="AI125" s="1060"/>
      <c r="AJ125" s="1060"/>
      <c r="AK125" s="1061"/>
      <c r="AL125" s="1060"/>
      <c r="AM125" s="1060"/>
      <c r="AN125" s="1060"/>
      <c r="AO125" s="1060"/>
      <c r="AP125" s="1060"/>
    </row>
    <row r="126" spans="1:42" x14ac:dyDescent="0.3">
      <c r="A126" s="1040">
        <v>98</v>
      </c>
      <c r="B126" s="1040">
        <v>75531</v>
      </c>
      <c r="C126" s="1040" t="s">
        <v>558</v>
      </c>
      <c r="D126" s="1040" t="str">
        <f t="shared" si="3"/>
        <v>061901</v>
      </c>
      <c r="E126" s="1040" t="s">
        <v>559</v>
      </c>
      <c r="F126" s="1040" t="str">
        <f>"020"</f>
        <v>020</v>
      </c>
      <c r="H126" s="1041" t="str">
        <f>"41A"</f>
        <v>41A</v>
      </c>
      <c r="I126" s="1040" t="s">
        <v>560</v>
      </c>
      <c r="J126" s="1040">
        <v>409531</v>
      </c>
      <c r="K126" s="1045">
        <v>41403</v>
      </c>
      <c r="L126" s="1040" t="s">
        <v>561</v>
      </c>
      <c r="M126" s="1041">
        <v>2007</v>
      </c>
      <c r="N126" s="1041" t="s">
        <v>562</v>
      </c>
      <c r="O126" s="1041" t="s">
        <v>562</v>
      </c>
      <c r="P126" s="1041" t="s">
        <v>562</v>
      </c>
      <c r="Q126" s="1041" t="s">
        <v>562</v>
      </c>
      <c r="R126" s="1040">
        <v>15</v>
      </c>
      <c r="S126" s="1041">
        <v>1</v>
      </c>
      <c r="T126" s="1042">
        <v>77283</v>
      </c>
      <c r="U126" s="1042">
        <v>13034909</v>
      </c>
      <c r="V126" s="1042">
        <v>1876428</v>
      </c>
      <c r="W126" s="1042"/>
      <c r="X126" s="1042">
        <v>169</v>
      </c>
      <c r="Y126" s="1042">
        <v>24</v>
      </c>
      <c r="Z126" s="1040" t="s">
        <v>563</v>
      </c>
      <c r="AA126" s="1040" t="s">
        <v>684</v>
      </c>
      <c r="AB126" s="1040" t="s">
        <v>565</v>
      </c>
      <c r="AC126" s="1040" t="s">
        <v>566</v>
      </c>
      <c r="AD126" s="1040" t="s">
        <v>591</v>
      </c>
      <c r="AE126" s="1041"/>
      <c r="AF126" s="1040" t="s">
        <v>592</v>
      </c>
      <c r="AG126" s="1040">
        <v>0</v>
      </c>
      <c r="AH126" s="1040" t="s">
        <v>873</v>
      </c>
      <c r="AI126" s="1040" t="s">
        <v>570</v>
      </c>
      <c r="AJ126" s="1040" t="s">
        <v>571</v>
      </c>
      <c r="AK126" s="1041">
        <v>76227</v>
      </c>
      <c r="AL126" s="1040" t="s">
        <v>874</v>
      </c>
      <c r="AM126" s="1040" t="s">
        <v>875</v>
      </c>
      <c r="AN126" s="1040" t="s">
        <v>876</v>
      </c>
      <c r="AO126" s="1040">
        <v>12433000</v>
      </c>
      <c r="AP126" s="1040">
        <v>409531</v>
      </c>
    </row>
    <row r="127" spans="1:42" x14ac:dyDescent="0.3">
      <c r="A127" s="1040">
        <v>98</v>
      </c>
      <c r="B127" s="1040">
        <v>75531</v>
      </c>
      <c r="C127" s="1040" t="s">
        <v>558</v>
      </c>
      <c r="D127" s="1040" t="str">
        <f t="shared" si="3"/>
        <v>061901</v>
      </c>
      <c r="E127" s="1040" t="s">
        <v>559</v>
      </c>
      <c r="F127" s="1040" t="str">
        <f>"020"</f>
        <v>020</v>
      </c>
      <c r="G127" s="1040" t="s">
        <v>872</v>
      </c>
      <c r="H127" s="1041" t="str">
        <f>"999"</f>
        <v>999</v>
      </c>
      <c r="I127" s="1040" t="s">
        <v>586</v>
      </c>
      <c r="J127" s="1040">
        <v>409759</v>
      </c>
      <c r="K127" s="1040"/>
      <c r="L127" s="1040" t="s">
        <v>561</v>
      </c>
      <c r="M127" s="1041"/>
      <c r="N127" s="1041" t="s">
        <v>576</v>
      </c>
      <c r="O127" s="1041" t="s">
        <v>576</v>
      </c>
      <c r="P127" s="1041" t="s">
        <v>576</v>
      </c>
      <c r="Q127" s="1041" t="s">
        <v>576</v>
      </c>
      <c r="R127" s="1040">
        <v>0</v>
      </c>
      <c r="S127" s="1041">
        <v>0</v>
      </c>
      <c r="T127" s="1042"/>
      <c r="U127" s="1042"/>
      <c r="V127" s="1042"/>
      <c r="W127" s="1042">
        <v>248474</v>
      </c>
      <c r="X127" s="1042"/>
      <c r="Y127" s="1042"/>
      <c r="Z127" s="1040"/>
      <c r="AA127" s="1040"/>
      <c r="AB127" s="1040"/>
      <c r="AC127" s="1040"/>
      <c r="AD127" s="1040"/>
      <c r="AE127" s="1041"/>
      <c r="AF127" s="1040"/>
      <c r="AG127" s="1040">
        <v>0</v>
      </c>
      <c r="AH127" s="1040" t="s">
        <v>873</v>
      </c>
      <c r="AI127" s="1040" t="s">
        <v>570</v>
      </c>
      <c r="AJ127" s="1040" t="s">
        <v>571</v>
      </c>
      <c r="AK127" s="1041">
        <v>76227</v>
      </c>
      <c r="AL127" s="1040"/>
      <c r="AM127" s="1040"/>
      <c r="AN127" s="1040"/>
      <c r="AO127" s="1040">
        <v>0</v>
      </c>
      <c r="AP127" s="1040">
        <v>409759</v>
      </c>
    </row>
    <row r="128" spans="1:42" s="1059" customFormat="1" x14ac:dyDescent="0.3">
      <c r="A128" s="1056"/>
      <c r="B128" s="1056"/>
      <c r="C128" s="1056"/>
      <c r="D128" s="1056"/>
      <c r="E128" s="1056"/>
      <c r="F128" s="1056"/>
      <c r="G128" s="1056"/>
      <c r="H128" s="1057"/>
      <c r="I128" s="1056"/>
      <c r="J128" s="1056"/>
      <c r="K128" s="1056"/>
      <c r="L128" s="1056"/>
      <c r="M128" s="1057"/>
      <c r="N128" s="1057"/>
      <c r="O128" s="1057"/>
      <c r="P128" s="1057"/>
      <c r="Q128" s="1057"/>
      <c r="R128" s="1056"/>
      <c r="S128" s="1057"/>
      <c r="T128" s="1058"/>
      <c r="U128" s="1058"/>
      <c r="V128" s="1058"/>
      <c r="W128" s="1058"/>
      <c r="X128" s="1058"/>
      <c r="Y128" s="1058"/>
      <c r="Z128" s="1056"/>
      <c r="AA128" s="1056"/>
      <c r="AB128" s="1056"/>
      <c r="AC128" s="1056"/>
      <c r="AD128" s="1056"/>
      <c r="AE128" s="1057"/>
      <c r="AF128" s="1056"/>
      <c r="AG128" s="1056"/>
      <c r="AH128" s="1056"/>
      <c r="AI128" s="1056"/>
      <c r="AJ128" s="1056"/>
      <c r="AK128" s="1057"/>
      <c r="AL128" s="1056"/>
      <c r="AM128" s="1056"/>
      <c r="AN128" s="1056"/>
      <c r="AO128" s="1056"/>
      <c r="AP128" s="1056"/>
    </row>
    <row r="129" spans="1:42" s="1059" customFormat="1" x14ac:dyDescent="0.3">
      <c r="A129" s="1060"/>
      <c r="B129" s="1060"/>
      <c r="C129" s="1060"/>
      <c r="D129" s="1060"/>
      <c r="E129" s="1060"/>
      <c r="F129" s="1060"/>
      <c r="G129" s="1060"/>
      <c r="H129" s="1061"/>
      <c r="I129" s="1062" t="s">
        <v>877</v>
      </c>
      <c r="J129" s="1060"/>
      <c r="K129" s="1060"/>
      <c r="L129" s="1060"/>
      <c r="M129" s="1061"/>
      <c r="N129" s="1061"/>
      <c r="O129" s="1061"/>
      <c r="P129" s="1061"/>
      <c r="Q129" s="1061"/>
      <c r="R129" s="1060"/>
      <c r="S129" s="1061"/>
      <c r="T129" s="1063"/>
      <c r="U129" s="1063"/>
      <c r="V129" s="1063"/>
      <c r="W129" s="1063"/>
      <c r="X129" s="1063"/>
      <c r="Y129" s="1063"/>
      <c r="Z129" s="1060"/>
      <c r="AA129" s="1060"/>
      <c r="AB129" s="1060"/>
      <c r="AC129" s="1060"/>
      <c r="AD129" s="1060"/>
      <c r="AE129" s="1061"/>
      <c r="AF129" s="1060"/>
      <c r="AG129" s="1060"/>
      <c r="AH129" s="1060"/>
      <c r="AI129" s="1060"/>
      <c r="AJ129" s="1060"/>
      <c r="AK129" s="1061"/>
      <c r="AL129" s="1060"/>
      <c r="AM129" s="1060"/>
      <c r="AN129" s="1060"/>
      <c r="AO129" s="1060"/>
      <c r="AP129" s="1060"/>
    </row>
    <row r="130" spans="1:42" x14ac:dyDescent="0.3">
      <c r="A130" s="1040">
        <v>98</v>
      </c>
      <c r="B130" s="1040">
        <v>75531</v>
      </c>
      <c r="C130" s="1040" t="s">
        <v>558</v>
      </c>
      <c r="D130" s="1040" t="str">
        <f t="shared" si="3"/>
        <v>061901</v>
      </c>
      <c r="E130" s="1040" t="s">
        <v>559</v>
      </c>
      <c r="F130" s="1040" t="str">
        <f t="shared" ref="F130:F136" si="6">"021"</f>
        <v>021</v>
      </c>
      <c r="H130" s="1041" t="str">
        <f>"40A"</f>
        <v>40A</v>
      </c>
      <c r="I130" s="1040" t="s">
        <v>878</v>
      </c>
      <c r="J130" s="1040">
        <v>409544</v>
      </c>
      <c r="K130" s="1045">
        <v>41404</v>
      </c>
      <c r="L130" s="1040" t="s">
        <v>561</v>
      </c>
      <c r="M130" s="1041">
        <v>2006</v>
      </c>
      <c r="N130" s="1041" t="s">
        <v>562</v>
      </c>
      <c r="O130" s="1041" t="s">
        <v>562</v>
      </c>
      <c r="P130" s="1041" t="s">
        <v>562</v>
      </c>
      <c r="Q130" s="1041" t="s">
        <v>562</v>
      </c>
      <c r="R130" s="1040">
        <v>16</v>
      </c>
      <c r="S130" s="1041">
        <v>2</v>
      </c>
      <c r="T130" s="1042">
        <v>164276</v>
      </c>
      <c r="U130" s="1042">
        <v>22859580</v>
      </c>
      <c r="V130" s="1042">
        <v>2753322</v>
      </c>
      <c r="W130" s="1042"/>
      <c r="X130" s="1042">
        <v>139</v>
      </c>
      <c r="Y130" s="1042">
        <v>17</v>
      </c>
      <c r="Z130" s="1040" t="s">
        <v>563</v>
      </c>
      <c r="AA130" s="1040" t="s">
        <v>879</v>
      </c>
      <c r="AB130" s="1040" t="s">
        <v>637</v>
      </c>
      <c r="AC130" s="1040" t="s">
        <v>638</v>
      </c>
      <c r="AD130" s="1040" t="s">
        <v>880</v>
      </c>
      <c r="AE130" s="1041"/>
      <c r="AF130" s="1040" t="s">
        <v>738</v>
      </c>
      <c r="AG130" s="1040">
        <v>0</v>
      </c>
      <c r="AH130" s="1040" t="s">
        <v>881</v>
      </c>
      <c r="AI130" s="1040" t="s">
        <v>570</v>
      </c>
      <c r="AJ130" s="1040" t="s">
        <v>571</v>
      </c>
      <c r="AK130" s="1041">
        <v>76227</v>
      </c>
      <c r="AL130" s="1040" t="s">
        <v>882</v>
      </c>
      <c r="AM130" s="1040" t="s">
        <v>883</v>
      </c>
      <c r="AN130" s="1040" t="s">
        <v>884</v>
      </c>
      <c r="AO130" s="1040">
        <v>21804000</v>
      </c>
      <c r="AP130" s="1040">
        <v>409544</v>
      </c>
    </row>
    <row r="131" spans="1:42" x14ac:dyDescent="0.3">
      <c r="A131" s="1040">
        <v>98</v>
      </c>
      <c r="B131" s="1040">
        <v>75531</v>
      </c>
      <c r="C131" s="1040" t="s">
        <v>558</v>
      </c>
      <c r="D131" s="1040" t="str">
        <f t="shared" si="3"/>
        <v>061901</v>
      </c>
      <c r="E131" s="1040" t="s">
        <v>559</v>
      </c>
      <c r="F131" s="1040" t="str">
        <f t="shared" si="6"/>
        <v>021</v>
      </c>
      <c r="G131" s="1040" t="s">
        <v>877</v>
      </c>
      <c r="H131" s="1041" t="str">
        <f>"40B"</f>
        <v>40B</v>
      </c>
      <c r="I131" s="1040" t="s">
        <v>885</v>
      </c>
      <c r="J131" s="1040">
        <v>409635</v>
      </c>
      <c r="K131" s="1045">
        <v>41404</v>
      </c>
      <c r="L131" s="1040" t="s">
        <v>561</v>
      </c>
      <c r="M131" s="1041">
        <v>2010</v>
      </c>
      <c r="N131" s="1041" t="s">
        <v>576</v>
      </c>
      <c r="O131" s="1041" t="s">
        <v>576</v>
      </c>
      <c r="P131" s="1041" t="s">
        <v>576</v>
      </c>
      <c r="Q131" s="1041" t="s">
        <v>576</v>
      </c>
      <c r="R131" s="1040">
        <v>9</v>
      </c>
      <c r="S131" s="1041">
        <v>1</v>
      </c>
      <c r="T131" s="1042">
        <v>1536</v>
      </c>
      <c r="U131" s="1042">
        <v>146778</v>
      </c>
      <c r="V131" s="1042">
        <v>22484</v>
      </c>
      <c r="W131" s="1042"/>
      <c r="X131" s="1042">
        <v>96</v>
      </c>
      <c r="Y131" s="1042">
        <v>15</v>
      </c>
      <c r="Z131" s="1040" t="s">
        <v>577</v>
      </c>
      <c r="AA131" s="1040" t="s">
        <v>578</v>
      </c>
      <c r="AB131" s="1040" t="s">
        <v>579</v>
      </c>
      <c r="AC131" s="1040" t="s">
        <v>580</v>
      </c>
      <c r="AD131" s="1040" t="s">
        <v>581</v>
      </c>
      <c r="AE131" s="1041"/>
      <c r="AF131" s="1040" t="s">
        <v>582</v>
      </c>
      <c r="AG131" s="1040">
        <v>0</v>
      </c>
      <c r="AH131" s="1040" t="s">
        <v>881</v>
      </c>
      <c r="AI131" s="1040" t="s">
        <v>570</v>
      </c>
      <c r="AJ131" s="1040" t="s">
        <v>571</v>
      </c>
      <c r="AK131" s="1041">
        <v>76227</v>
      </c>
      <c r="AL131" s="1040" t="s">
        <v>886</v>
      </c>
      <c r="AM131" s="1040" t="s">
        <v>887</v>
      </c>
      <c r="AN131" s="1040" t="s">
        <v>585</v>
      </c>
      <c r="AO131" s="1040">
        <v>140000</v>
      </c>
      <c r="AP131" s="1040">
        <v>409635</v>
      </c>
    </row>
    <row r="132" spans="1:42" x14ac:dyDescent="0.3">
      <c r="A132" s="1040">
        <v>98</v>
      </c>
      <c r="B132" s="1040">
        <v>75531</v>
      </c>
      <c r="C132" s="1040" t="s">
        <v>558</v>
      </c>
      <c r="D132" s="1040" t="str">
        <f t="shared" si="3"/>
        <v>061901</v>
      </c>
      <c r="E132" s="1040" t="s">
        <v>559</v>
      </c>
      <c r="F132" s="1040" t="str">
        <f t="shared" si="6"/>
        <v>021</v>
      </c>
      <c r="G132" s="1040" t="s">
        <v>877</v>
      </c>
      <c r="H132" s="1041" t="str">
        <f>"7B"</f>
        <v>7B</v>
      </c>
      <c r="I132" s="1040" t="s">
        <v>888</v>
      </c>
      <c r="J132" s="1040">
        <v>409614</v>
      </c>
      <c r="K132" s="1045">
        <v>41393</v>
      </c>
      <c r="L132" s="1040" t="s">
        <v>561</v>
      </c>
      <c r="M132" s="1041">
        <v>2000</v>
      </c>
      <c r="N132" s="1041" t="s">
        <v>576</v>
      </c>
      <c r="O132" s="1041" t="s">
        <v>576</v>
      </c>
      <c r="P132" s="1041" t="s">
        <v>576</v>
      </c>
      <c r="Q132" s="1041" t="s">
        <v>576</v>
      </c>
      <c r="R132" s="1040">
        <v>9</v>
      </c>
      <c r="S132" s="1041">
        <v>1</v>
      </c>
      <c r="T132" s="1042">
        <v>768</v>
      </c>
      <c r="U132" s="1042">
        <v>74931</v>
      </c>
      <c r="V132" s="1042">
        <v>11320</v>
      </c>
      <c r="W132" s="1042"/>
      <c r="X132" s="1042">
        <v>98</v>
      </c>
      <c r="Y132" s="1042">
        <v>15</v>
      </c>
      <c r="Z132" s="1040" t="s">
        <v>577</v>
      </c>
      <c r="AA132" s="1040" t="s">
        <v>578</v>
      </c>
      <c r="AB132" s="1040" t="s">
        <v>579</v>
      </c>
      <c r="AC132" s="1040" t="s">
        <v>580</v>
      </c>
      <c r="AD132" s="1040" t="s">
        <v>581</v>
      </c>
      <c r="AE132" s="1041"/>
      <c r="AF132" s="1040" t="s">
        <v>582</v>
      </c>
      <c r="AG132" s="1040">
        <v>0</v>
      </c>
      <c r="AH132" s="1040" t="s">
        <v>881</v>
      </c>
      <c r="AI132" s="1040" t="s">
        <v>570</v>
      </c>
      <c r="AJ132" s="1040" t="s">
        <v>571</v>
      </c>
      <c r="AK132" s="1041">
        <v>76227</v>
      </c>
      <c r="AL132" s="1040" t="s">
        <v>889</v>
      </c>
      <c r="AM132" s="1040" t="s">
        <v>890</v>
      </c>
      <c r="AN132" s="1040" t="s">
        <v>891</v>
      </c>
      <c r="AO132" s="1040">
        <v>71470</v>
      </c>
      <c r="AP132" s="1040">
        <v>409614</v>
      </c>
    </row>
    <row r="133" spans="1:42" x14ac:dyDescent="0.3">
      <c r="A133" s="1040">
        <v>98</v>
      </c>
      <c r="B133" s="1040">
        <v>75531</v>
      </c>
      <c r="C133" s="1040" t="s">
        <v>558</v>
      </c>
      <c r="D133" s="1040" t="str">
        <f t="shared" si="3"/>
        <v>061901</v>
      </c>
      <c r="E133" s="1040" t="s">
        <v>559</v>
      </c>
      <c r="F133" s="1040" t="str">
        <f t="shared" si="6"/>
        <v>021</v>
      </c>
      <c r="G133" s="1040" t="s">
        <v>877</v>
      </c>
      <c r="H133" s="1041" t="str">
        <f>"7C"</f>
        <v>7C</v>
      </c>
      <c r="I133" s="1040" t="s">
        <v>892</v>
      </c>
      <c r="J133" s="1040">
        <v>409615</v>
      </c>
      <c r="K133" s="1045">
        <v>41393</v>
      </c>
      <c r="L133" s="1040" t="s">
        <v>561</v>
      </c>
      <c r="M133" s="1041">
        <v>2000</v>
      </c>
      <c r="N133" s="1041" t="s">
        <v>576</v>
      </c>
      <c r="O133" s="1041" t="s">
        <v>576</v>
      </c>
      <c r="P133" s="1041" t="s">
        <v>576</v>
      </c>
      <c r="Q133" s="1041" t="s">
        <v>576</v>
      </c>
      <c r="R133" s="1040">
        <v>9</v>
      </c>
      <c r="S133" s="1041">
        <v>1</v>
      </c>
      <c r="T133" s="1042">
        <v>768</v>
      </c>
      <c r="U133" s="1042">
        <v>74931</v>
      </c>
      <c r="V133" s="1042">
        <v>11320</v>
      </c>
      <c r="W133" s="1042"/>
      <c r="X133" s="1042">
        <v>98</v>
      </c>
      <c r="Y133" s="1042">
        <v>15</v>
      </c>
      <c r="Z133" s="1040" t="s">
        <v>577</v>
      </c>
      <c r="AA133" s="1040" t="s">
        <v>578</v>
      </c>
      <c r="AB133" s="1040" t="s">
        <v>579</v>
      </c>
      <c r="AC133" s="1040" t="s">
        <v>580</v>
      </c>
      <c r="AD133" s="1040" t="s">
        <v>581</v>
      </c>
      <c r="AE133" s="1041"/>
      <c r="AF133" s="1040" t="s">
        <v>582</v>
      </c>
      <c r="AG133" s="1040">
        <v>0</v>
      </c>
      <c r="AH133" s="1040" t="s">
        <v>881</v>
      </c>
      <c r="AI133" s="1040" t="s">
        <v>570</v>
      </c>
      <c r="AJ133" s="1040" t="s">
        <v>571</v>
      </c>
      <c r="AK133" s="1041">
        <v>76227</v>
      </c>
      <c r="AL133" s="1040" t="s">
        <v>893</v>
      </c>
      <c r="AM133" s="1040" t="s">
        <v>894</v>
      </c>
      <c r="AN133" s="1040" t="s">
        <v>895</v>
      </c>
      <c r="AO133" s="1040">
        <v>71470</v>
      </c>
      <c r="AP133" s="1040">
        <v>409615</v>
      </c>
    </row>
    <row r="134" spans="1:42" x14ac:dyDescent="0.3">
      <c r="A134" s="1040">
        <v>98</v>
      </c>
      <c r="B134" s="1040">
        <v>75531</v>
      </c>
      <c r="C134" s="1040" t="s">
        <v>558</v>
      </c>
      <c r="D134" s="1040" t="str">
        <f t="shared" si="3"/>
        <v>061901</v>
      </c>
      <c r="E134" s="1040" t="s">
        <v>559</v>
      </c>
      <c r="F134" s="1040" t="str">
        <f t="shared" si="6"/>
        <v>021</v>
      </c>
      <c r="G134" s="1040" t="s">
        <v>877</v>
      </c>
      <c r="H134" s="1041" t="str">
        <f>"7D"</f>
        <v>7D</v>
      </c>
      <c r="I134" s="1040" t="s">
        <v>896</v>
      </c>
      <c r="J134" s="1040">
        <v>409616</v>
      </c>
      <c r="K134" s="1045">
        <v>41393</v>
      </c>
      <c r="L134" s="1040" t="s">
        <v>561</v>
      </c>
      <c r="M134" s="1041">
        <v>2000</v>
      </c>
      <c r="N134" s="1041" t="s">
        <v>576</v>
      </c>
      <c r="O134" s="1041" t="s">
        <v>576</v>
      </c>
      <c r="P134" s="1041" t="s">
        <v>576</v>
      </c>
      <c r="Q134" s="1041" t="s">
        <v>576</v>
      </c>
      <c r="R134" s="1040">
        <v>9</v>
      </c>
      <c r="S134" s="1041">
        <v>1</v>
      </c>
      <c r="T134" s="1042">
        <v>768</v>
      </c>
      <c r="U134" s="1042">
        <v>74931</v>
      </c>
      <c r="V134" s="1042">
        <v>11320</v>
      </c>
      <c r="W134" s="1042"/>
      <c r="X134" s="1042">
        <v>98</v>
      </c>
      <c r="Y134" s="1042">
        <v>15</v>
      </c>
      <c r="Z134" s="1040" t="s">
        <v>577</v>
      </c>
      <c r="AA134" s="1040" t="s">
        <v>578</v>
      </c>
      <c r="AB134" s="1040" t="s">
        <v>579</v>
      </c>
      <c r="AC134" s="1040" t="s">
        <v>580</v>
      </c>
      <c r="AD134" s="1040" t="s">
        <v>581</v>
      </c>
      <c r="AE134" s="1041"/>
      <c r="AF134" s="1040" t="s">
        <v>582</v>
      </c>
      <c r="AG134" s="1040">
        <v>0</v>
      </c>
      <c r="AH134" s="1040" t="s">
        <v>881</v>
      </c>
      <c r="AI134" s="1040" t="s">
        <v>570</v>
      </c>
      <c r="AJ134" s="1040" t="s">
        <v>571</v>
      </c>
      <c r="AK134" s="1041">
        <v>76227</v>
      </c>
      <c r="AL134" s="1040" t="s">
        <v>897</v>
      </c>
      <c r="AM134" s="1040" t="s">
        <v>890</v>
      </c>
      <c r="AN134" s="1040" t="s">
        <v>895</v>
      </c>
      <c r="AO134" s="1040">
        <v>71470</v>
      </c>
      <c r="AP134" s="1040">
        <v>409616</v>
      </c>
    </row>
    <row r="135" spans="1:42" x14ac:dyDescent="0.3">
      <c r="A135" s="1040">
        <v>98</v>
      </c>
      <c r="B135" s="1040">
        <v>75531</v>
      </c>
      <c r="C135" s="1040" t="s">
        <v>558</v>
      </c>
      <c r="D135" s="1040" t="str">
        <f t="shared" si="3"/>
        <v>061901</v>
      </c>
      <c r="E135" s="1040" t="s">
        <v>559</v>
      </c>
      <c r="F135" s="1040" t="str">
        <f t="shared" si="6"/>
        <v>021</v>
      </c>
      <c r="G135" s="1040" t="s">
        <v>877</v>
      </c>
      <c r="H135" s="1041" t="str">
        <f>"7G"</f>
        <v>7G</v>
      </c>
      <c r="I135" s="1040" t="s">
        <v>898</v>
      </c>
      <c r="J135" s="1040">
        <v>409619</v>
      </c>
      <c r="K135" s="1045">
        <v>41393</v>
      </c>
      <c r="L135" s="1040" t="s">
        <v>561</v>
      </c>
      <c r="M135" s="1041">
        <v>2000</v>
      </c>
      <c r="N135" s="1041" t="s">
        <v>576</v>
      </c>
      <c r="O135" s="1041" t="s">
        <v>576</v>
      </c>
      <c r="P135" s="1041" t="s">
        <v>576</v>
      </c>
      <c r="Q135" s="1041" t="s">
        <v>576</v>
      </c>
      <c r="R135" s="1040">
        <v>9</v>
      </c>
      <c r="S135" s="1041">
        <v>1</v>
      </c>
      <c r="T135" s="1042">
        <v>768</v>
      </c>
      <c r="U135" s="1042">
        <v>74931</v>
      </c>
      <c r="V135" s="1042">
        <v>11320</v>
      </c>
      <c r="W135" s="1042"/>
      <c r="X135" s="1042">
        <v>98</v>
      </c>
      <c r="Y135" s="1042">
        <v>15</v>
      </c>
      <c r="Z135" s="1040" t="s">
        <v>577</v>
      </c>
      <c r="AA135" s="1040" t="s">
        <v>578</v>
      </c>
      <c r="AB135" s="1040" t="s">
        <v>579</v>
      </c>
      <c r="AC135" s="1040" t="s">
        <v>580</v>
      </c>
      <c r="AD135" s="1040" t="s">
        <v>581</v>
      </c>
      <c r="AE135" s="1041"/>
      <c r="AF135" s="1040" t="s">
        <v>582</v>
      </c>
      <c r="AG135" s="1040">
        <v>0</v>
      </c>
      <c r="AH135" s="1040" t="s">
        <v>881</v>
      </c>
      <c r="AI135" s="1040" t="s">
        <v>570</v>
      </c>
      <c r="AJ135" s="1040" t="s">
        <v>571</v>
      </c>
      <c r="AK135" s="1041">
        <v>76227</v>
      </c>
      <c r="AL135" s="1040" t="s">
        <v>899</v>
      </c>
      <c r="AM135" s="1040" t="s">
        <v>735</v>
      </c>
      <c r="AN135" s="1040" t="s">
        <v>895</v>
      </c>
      <c r="AO135" s="1040">
        <v>71470</v>
      </c>
      <c r="AP135" s="1040">
        <v>409619</v>
      </c>
    </row>
    <row r="136" spans="1:42" x14ac:dyDescent="0.3">
      <c r="A136" s="1040">
        <v>98</v>
      </c>
      <c r="B136" s="1040">
        <v>75531</v>
      </c>
      <c r="C136" s="1040" t="s">
        <v>558</v>
      </c>
      <c r="D136" s="1040" t="str">
        <f t="shared" si="3"/>
        <v>061901</v>
      </c>
      <c r="E136" s="1040" t="s">
        <v>559</v>
      </c>
      <c r="F136" s="1040" t="str">
        <f t="shared" si="6"/>
        <v>021</v>
      </c>
      <c r="G136" s="1040" t="s">
        <v>877</v>
      </c>
      <c r="H136" s="1041" t="str">
        <f>"999"</f>
        <v>999</v>
      </c>
      <c r="I136" s="1040" t="s">
        <v>586</v>
      </c>
      <c r="J136" s="1040">
        <v>409767</v>
      </c>
      <c r="K136" s="1040"/>
      <c r="L136" s="1040" t="s">
        <v>561</v>
      </c>
      <c r="M136" s="1041"/>
      <c r="N136" s="1041" t="s">
        <v>576</v>
      </c>
      <c r="O136" s="1041" t="s">
        <v>576</v>
      </c>
      <c r="P136" s="1041" t="s">
        <v>576</v>
      </c>
      <c r="Q136" s="1041" t="s">
        <v>576</v>
      </c>
      <c r="R136" s="1040">
        <v>0</v>
      </c>
      <c r="S136" s="1041">
        <v>0</v>
      </c>
      <c r="T136" s="1042"/>
      <c r="U136" s="1042"/>
      <c r="V136" s="1042"/>
      <c r="W136" s="1042">
        <v>331298</v>
      </c>
      <c r="X136" s="1042"/>
      <c r="Y136" s="1042"/>
      <c r="Z136" s="1040"/>
      <c r="AA136" s="1040"/>
      <c r="AB136" s="1040"/>
      <c r="AC136" s="1040"/>
      <c r="AD136" s="1040"/>
      <c r="AE136" s="1041"/>
      <c r="AF136" s="1040"/>
      <c r="AG136" s="1040">
        <v>0</v>
      </c>
      <c r="AH136" s="1040" t="s">
        <v>881</v>
      </c>
      <c r="AI136" s="1040" t="s">
        <v>570</v>
      </c>
      <c r="AJ136" s="1040" t="s">
        <v>571</v>
      </c>
      <c r="AK136" s="1041">
        <v>76227</v>
      </c>
      <c r="AL136" s="1040"/>
      <c r="AM136" s="1040"/>
      <c r="AN136" s="1040"/>
      <c r="AO136" s="1040">
        <v>0</v>
      </c>
      <c r="AP136" s="1040">
        <v>409767</v>
      </c>
    </row>
    <row r="137" spans="1:42" s="1059" customFormat="1" x14ac:dyDescent="0.3">
      <c r="A137" s="1056"/>
      <c r="B137" s="1056"/>
      <c r="C137" s="1056"/>
      <c r="D137" s="1056"/>
      <c r="E137" s="1056"/>
      <c r="F137" s="1056"/>
      <c r="G137" s="1056"/>
      <c r="H137" s="1057"/>
      <c r="I137" s="1056"/>
      <c r="J137" s="1056"/>
      <c r="K137" s="1056"/>
      <c r="L137" s="1056"/>
      <c r="M137" s="1057"/>
      <c r="N137" s="1057"/>
      <c r="O137" s="1057"/>
      <c r="P137" s="1057"/>
      <c r="Q137" s="1057"/>
      <c r="R137" s="1056"/>
      <c r="S137" s="1057"/>
      <c r="T137" s="1058"/>
      <c r="U137" s="1058"/>
      <c r="V137" s="1058"/>
      <c r="W137" s="1058"/>
      <c r="X137" s="1058"/>
      <c r="Y137" s="1058"/>
      <c r="Z137" s="1056"/>
      <c r="AA137" s="1056"/>
      <c r="AB137" s="1056"/>
      <c r="AC137" s="1056"/>
      <c r="AD137" s="1056"/>
      <c r="AE137" s="1057"/>
      <c r="AF137" s="1056"/>
      <c r="AG137" s="1056"/>
      <c r="AH137" s="1056"/>
      <c r="AI137" s="1056"/>
      <c r="AJ137" s="1056"/>
      <c r="AK137" s="1057"/>
      <c r="AL137" s="1056"/>
      <c r="AM137" s="1056"/>
      <c r="AN137" s="1056"/>
      <c r="AO137" s="1056"/>
      <c r="AP137" s="1056"/>
    </row>
    <row r="138" spans="1:42" s="1059" customFormat="1" x14ac:dyDescent="0.3">
      <c r="A138" s="1060"/>
      <c r="B138" s="1060"/>
      <c r="C138" s="1060"/>
      <c r="D138" s="1060"/>
      <c r="E138" s="1060"/>
      <c r="F138" s="1060"/>
      <c r="G138" s="1060"/>
      <c r="H138" s="1061"/>
      <c r="I138" s="1062" t="s">
        <v>900</v>
      </c>
      <c r="J138" s="1060"/>
      <c r="K138" s="1060"/>
      <c r="L138" s="1060"/>
      <c r="M138" s="1061"/>
      <c r="N138" s="1061"/>
      <c r="O138" s="1061"/>
      <c r="P138" s="1061"/>
      <c r="Q138" s="1061"/>
      <c r="R138" s="1060"/>
      <c r="S138" s="1061"/>
      <c r="T138" s="1063"/>
      <c r="U138" s="1063"/>
      <c r="V138" s="1063"/>
      <c r="W138" s="1063"/>
      <c r="X138" s="1063"/>
      <c r="Y138" s="1063"/>
      <c r="Z138" s="1060"/>
      <c r="AA138" s="1060"/>
      <c r="AB138" s="1060"/>
      <c r="AC138" s="1060"/>
      <c r="AD138" s="1060"/>
      <c r="AE138" s="1061"/>
      <c r="AF138" s="1060"/>
      <c r="AG138" s="1060"/>
      <c r="AH138" s="1060"/>
      <c r="AI138" s="1060"/>
      <c r="AJ138" s="1060"/>
      <c r="AK138" s="1061"/>
      <c r="AL138" s="1060"/>
      <c r="AM138" s="1060"/>
      <c r="AN138" s="1060"/>
      <c r="AO138" s="1060"/>
      <c r="AP138" s="1060"/>
    </row>
    <row r="139" spans="1:42" x14ac:dyDescent="0.3">
      <c r="A139" s="1040">
        <v>98</v>
      </c>
      <c r="B139" s="1040">
        <v>75531</v>
      </c>
      <c r="C139" s="1040" t="s">
        <v>558</v>
      </c>
      <c r="D139" s="1040" t="str">
        <f t="shared" si="3"/>
        <v>061901</v>
      </c>
      <c r="E139" s="1040" t="s">
        <v>559</v>
      </c>
      <c r="F139" s="1040" t="str">
        <f>"022"</f>
        <v>022</v>
      </c>
      <c r="H139" s="1041" t="str">
        <f>"24A"</f>
        <v>24A</v>
      </c>
      <c r="I139" s="1040" t="s">
        <v>901</v>
      </c>
      <c r="J139" s="1040">
        <v>409548</v>
      </c>
      <c r="K139" s="1045">
        <v>41395</v>
      </c>
      <c r="L139" s="1040" t="s">
        <v>561</v>
      </c>
      <c r="M139" s="1041">
        <v>1998</v>
      </c>
      <c r="N139" s="1041" t="s">
        <v>562</v>
      </c>
      <c r="O139" s="1041" t="s">
        <v>562</v>
      </c>
      <c r="P139" s="1041" t="s">
        <v>562</v>
      </c>
      <c r="Q139" s="1041" t="s">
        <v>562</v>
      </c>
      <c r="R139" s="1040">
        <v>16</v>
      </c>
      <c r="S139" s="1041">
        <v>2</v>
      </c>
      <c r="T139" s="1042">
        <v>161829</v>
      </c>
      <c r="U139" s="1042">
        <v>24726802</v>
      </c>
      <c r="V139" s="1042">
        <v>2712441</v>
      </c>
      <c r="W139" s="1042"/>
      <c r="X139" s="1042">
        <v>153</v>
      </c>
      <c r="Y139" s="1042">
        <v>17</v>
      </c>
      <c r="Z139" s="1040" t="s">
        <v>563</v>
      </c>
      <c r="AA139" s="1040" t="s">
        <v>797</v>
      </c>
      <c r="AB139" s="1040" t="s">
        <v>637</v>
      </c>
      <c r="AC139" s="1040" t="s">
        <v>638</v>
      </c>
      <c r="AD139" s="1040" t="s">
        <v>861</v>
      </c>
      <c r="AE139" s="1054"/>
      <c r="AF139" s="1040" t="s">
        <v>862</v>
      </c>
      <c r="AG139" s="1040">
        <v>0</v>
      </c>
      <c r="AH139" s="1040" t="s">
        <v>902</v>
      </c>
      <c r="AI139" s="1040" t="s">
        <v>594</v>
      </c>
      <c r="AJ139" s="1040" t="s">
        <v>571</v>
      </c>
      <c r="AK139" s="1041">
        <v>76205</v>
      </c>
      <c r="AL139" s="1040" t="s">
        <v>903</v>
      </c>
      <c r="AM139" s="1040" t="s">
        <v>904</v>
      </c>
      <c r="AN139" s="1040" t="s">
        <v>905</v>
      </c>
      <c r="AO139" s="1040">
        <v>23585000</v>
      </c>
      <c r="AP139" s="1040">
        <v>409548</v>
      </c>
    </row>
    <row r="140" spans="1:42" x14ac:dyDescent="0.3">
      <c r="A140" s="1040">
        <v>98</v>
      </c>
      <c r="B140" s="1040">
        <v>75531</v>
      </c>
      <c r="C140" s="1040" t="s">
        <v>558</v>
      </c>
      <c r="D140" s="1040" t="str">
        <f t="shared" si="3"/>
        <v>061901</v>
      </c>
      <c r="E140" s="1040" t="s">
        <v>559</v>
      </c>
      <c r="F140" s="1040" t="str">
        <f>"022"</f>
        <v>022</v>
      </c>
      <c r="G140" s="1040" t="s">
        <v>900</v>
      </c>
      <c r="H140" s="1041" t="str">
        <f>"999"</f>
        <v>999</v>
      </c>
      <c r="I140" s="1040" t="s">
        <v>586</v>
      </c>
      <c r="J140" s="1040">
        <v>409771</v>
      </c>
      <c r="K140" s="1040"/>
      <c r="L140" s="1040" t="s">
        <v>561</v>
      </c>
      <c r="M140" s="1041"/>
      <c r="N140" s="1041" t="s">
        <v>576</v>
      </c>
      <c r="O140" s="1041" t="s">
        <v>576</v>
      </c>
      <c r="P140" s="1041" t="s">
        <v>576</v>
      </c>
      <c r="Q140" s="1041" t="s">
        <v>576</v>
      </c>
      <c r="R140" s="1040">
        <v>0</v>
      </c>
      <c r="S140" s="1041">
        <v>0</v>
      </c>
      <c r="T140" s="1042"/>
      <c r="U140" s="1042"/>
      <c r="V140" s="1042"/>
      <c r="W140" s="1042">
        <v>261054</v>
      </c>
      <c r="X140" s="1042"/>
      <c r="Y140" s="1042"/>
      <c r="Z140" s="1040"/>
      <c r="AA140" s="1040"/>
      <c r="AB140" s="1040"/>
      <c r="AC140" s="1040"/>
      <c r="AD140" s="1040"/>
      <c r="AE140" s="1041"/>
      <c r="AF140" s="1040"/>
      <c r="AG140" s="1040">
        <v>0</v>
      </c>
      <c r="AH140" s="1040" t="s">
        <v>902</v>
      </c>
      <c r="AI140" s="1040" t="s">
        <v>594</v>
      </c>
      <c r="AJ140" s="1040" t="s">
        <v>571</v>
      </c>
      <c r="AK140" s="1041">
        <v>76205</v>
      </c>
      <c r="AL140" s="1040"/>
      <c r="AM140" s="1040"/>
      <c r="AN140" s="1040"/>
      <c r="AO140" s="1040">
        <v>0</v>
      </c>
      <c r="AP140" s="1040">
        <v>409771</v>
      </c>
    </row>
    <row r="141" spans="1:42" s="1059" customFormat="1" x14ac:dyDescent="0.3">
      <c r="A141" s="1056"/>
      <c r="B141" s="1056"/>
      <c r="C141" s="1056"/>
      <c r="D141" s="1056"/>
      <c r="E141" s="1056"/>
      <c r="F141" s="1056"/>
      <c r="G141" s="1056"/>
      <c r="H141" s="1057"/>
      <c r="I141" s="1056"/>
      <c r="J141" s="1056"/>
      <c r="K141" s="1056"/>
      <c r="L141" s="1056"/>
      <c r="M141" s="1057"/>
      <c r="N141" s="1057"/>
      <c r="O141" s="1057"/>
      <c r="P141" s="1057"/>
      <c r="Q141" s="1057"/>
      <c r="R141" s="1056"/>
      <c r="S141" s="1057"/>
      <c r="T141" s="1058"/>
      <c r="U141" s="1058"/>
      <c r="V141" s="1058"/>
      <c r="W141" s="1058"/>
      <c r="X141" s="1058"/>
      <c r="Y141" s="1058"/>
      <c r="Z141" s="1056"/>
      <c r="AA141" s="1056"/>
      <c r="AB141" s="1056"/>
      <c r="AC141" s="1056"/>
      <c r="AD141" s="1056"/>
      <c r="AE141" s="1057"/>
      <c r="AF141" s="1056"/>
      <c r="AG141" s="1056"/>
      <c r="AH141" s="1056"/>
      <c r="AI141" s="1056"/>
      <c r="AJ141" s="1056"/>
      <c r="AK141" s="1057"/>
      <c r="AL141" s="1056"/>
      <c r="AM141" s="1056"/>
      <c r="AN141" s="1056"/>
      <c r="AO141" s="1056"/>
      <c r="AP141" s="1056"/>
    </row>
    <row r="142" spans="1:42" s="1059" customFormat="1" x14ac:dyDescent="0.3">
      <c r="A142" s="1060"/>
      <c r="B142" s="1060"/>
      <c r="C142" s="1060"/>
      <c r="D142" s="1060"/>
      <c r="E142" s="1060"/>
      <c r="F142" s="1060"/>
      <c r="G142" s="1060"/>
      <c r="H142" s="1061"/>
      <c r="I142" s="1062" t="s">
        <v>906</v>
      </c>
      <c r="J142" s="1060"/>
      <c r="K142" s="1060"/>
      <c r="L142" s="1060"/>
      <c r="M142" s="1061"/>
      <c r="N142" s="1061"/>
      <c r="O142" s="1061"/>
      <c r="P142" s="1061"/>
      <c r="Q142" s="1061"/>
      <c r="R142" s="1060"/>
      <c r="S142" s="1061"/>
      <c r="T142" s="1063"/>
      <c r="U142" s="1063"/>
      <c r="V142" s="1063"/>
      <c r="W142" s="1063"/>
      <c r="X142" s="1063"/>
      <c r="Y142" s="1063"/>
      <c r="Z142" s="1060"/>
      <c r="AA142" s="1060"/>
      <c r="AB142" s="1060"/>
      <c r="AC142" s="1060"/>
      <c r="AD142" s="1060"/>
      <c r="AE142" s="1061"/>
      <c r="AF142" s="1060"/>
      <c r="AG142" s="1060"/>
      <c r="AH142" s="1060"/>
      <c r="AI142" s="1060"/>
      <c r="AJ142" s="1060"/>
      <c r="AK142" s="1061"/>
      <c r="AL142" s="1060"/>
      <c r="AM142" s="1060"/>
      <c r="AN142" s="1060"/>
      <c r="AO142" s="1060"/>
      <c r="AP142" s="1060"/>
    </row>
    <row r="143" spans="1:42" x14ac:dyDescent="0.3">
      <c r="A143" s="1040">
        <v>98</v>
      </c>
      <c r="B143" s="1040">
        <v>75531</v>
      </c>
      <c r="C143" s="1040" t="s">
        <v>558</v>
      </c>
      <c r="D143" s="1040" t="str">
        <f t="shared" si="3"/>
        <v>061901</v>
      </c>
      <c r="E143" s="1040" t="s">
        <v>559</v>
      </c>
      <c r="F143" s="1040" t="str">
        <f>"023"</f>
        <v>023</v>
      </c>
      <c r="H143" s="1041" t="str">
        <f>"30A"</f>
        <v>30A</v>
      </c>
      <c r="I143" s="1040" t="s">
        <v>901</v>
      </c>
      <c r="J143" s="1040">
        <v>409547</v>
      </c>
      <c r="K143" s="1045">
        <v>41395</v>
      </c>
      <c r="L143" s="1040" t="s">
        <v>561</v>
      </c>
      <c r="M143" s="1041">
        <v>2002</v>
      </c>
      <c r="N143" s="1041" t="s">
        <v>562</v>
      </c>
      <c r="O143" s="1041" t="s">
        <v>562</v>
      </c>
      <c r="P143" s="1041" t="s">
        <v>562</v>
      </c>
      <c r="Q143" s="1041" t="s">
        <v>562</v>
      </c>
      <c r="R143" s="1040">
        <v>16</v>
      </c>
      <c r="S143" s="1041">
        <v>1</v>
      </c>
      <c r="T143" s="1042">
        <v>164308</v>
      </c>
      <c r="U143" s="1042">
        <v>25041326</v>
      </c>
      <c r="V143" s="1042">
        <v>2754344</v>
      </c>
      <c r="W143" s="1042"/>
      <c r="X143" s="1042">
        <v>152</v>
      </c>
      <c r="Y143" s="1042">
        <v>17</v>
      </c>
      <c r="Z143" s="1040" t="s">
        <v>563</v>
      </c>
      <c r="AA143" s="1040" t="s">
        <v>797</v>
      </c>
      <c r="AB143" s="1040" t="s">
        <v>565</v>
      </c>
      <c r="AC143" s="1040" t="s">
        <v>566</v>
      </c>
      <c r="AD143" s="1040" t="s">
        <v>907</v>
      </c>
      <c r="AE143" s="1041"/>
      <c r="AF143" s="1040" t="s">
        <v>908</v>
      </c>
      <c r="AG143" s="1040">
        <v>0</v>
      </c>
      <c r="AH143" s="1040" t="s">
        <v>909</v>
      </c>
      <c r="AI143" s="1040" t="s">
        <v>910</v>
      </c>
      <c r="AJ143" s="1040" t="s">
        <v>571</v>
      </c>
      <c r="AK143" s="1041">
        <v>76210</v>
      </c>
      <c r="AL143" s="1040" t="s">
        <v>911</v>
      </c>
      <c r="AM143" s="1040" t="s">
        <v>912</v>
      </c>
      <c r="AN143" s="1040" t="s">
        <v>913</v>
      </c>
      <c r="AO143" s="1040">
        <v>23885000</v>
      </c>
      <c r="AP143" s="1040">
        <v>409547</v>
      </c>
    </row>
    <row r="144" spans="1:42" x14ac:dyDescent="0.3">
      <c r="A144" s="1040">
        <v>98</v>
      </c>
      <c r="B144" s="1040">
        <v>75531</v>
      </c>
      <c r="C144" s="1040" t="s">
        <v>558</v>
      </c>
      <c r="D144" s="1040" t="str">
        <f t="shared" si="3"/>
        <v>061901</v>
      </c>
      <c r="E144" s="1040" t="s">
        <v>559</v>
      </c>
      <c r="F144" s="1040" t="str">
        <f>"023"</f>
        <v>023</v>
      </c>
      <c r="G144" s="1040" t="s">
        <v>906</v>
      </c>
      <c r="H144" s="1041" t="str">
        <f>"30B"</f>
        <v>30B</v>
      </c>
      <c r="I144" s="1040" t="s">
        <v>661</v>
      </c>
      <c r="J144" s="1040">
        <v>409636</v>
      </c>
      <c r="K144" s="1045">
        <v>41395</v>
      </c>
      <c r="L144" s="1040" t="s">
        <v>561</v>
      </c>
      <c r="M144" s="1041">
        <v>2012</v>
      </c>
      <c r="N144" s="1041" t="s">
        <v>576</v>
      </c>
      <c r="O144" s="1041" t="s">
        <v>576</v>
      </c>
      <c r="P144" s="1041" t="s">
        <v>576</v>
      </c>
      <c r="Q144" s="1041" t="s">
        <v>576</v>
      </c>
      <c r="R144" s="1040">
        <v>6</v>
      </c>
      <c r="S144" s="1041">
        <v>1</v>
      </c>
      <c r="T144" s="1042">
        <v>64</v>
      </c>
      <c r="U144" s="1042">
        <v>1046</v>
      </c>
      <c r="V144" s="1042">
        <v>1013</v>
      </c>
      <c r="W144" s="1042"/>
      <c r="X144" s="1042">
        <v>16</v>
      </c>
      <c r="Y144" s="1042">
        <v>16</v>
      </c>
      <c r="Z144" s="1040" t="s">
        <v>577</v>
      </c>
      <c r="AA144" s="1040" t="s">
        <v>615</v>
      </c>
      <c r="AB144" s="1040" t="s">
        <v>579</v>
      </c>
      <c r="AC144" s="1040" t="s">
        <v>580</v>
      </c>
      <c r="AD144" s="1040" t="s">
        <v>616</v>
      </c>
      <c r="AE144" s="1041"/>
      <c r="AF144" s="1040" t="s">
        <v>582</v>
      </c>
      <c r="AG144" s="1040">
        <v>0</v>
      </c>
      <c r="AH144" s="1040" t="s">
        <v>909</v>
      </c>
      <c r="AI144" s="1040" t="s">
        <v>910</v>
      </c>
      <c r="AJ144" s="1040" t="s">
        <v>571</v>
      </c>
      <c r="AK144" s="1041">
        <v>76210</v>
      </c>
      <c r="AL144" s="1040" t="s">
        <v>914</v>
      </c>
      <c r="AM144" s="1040" t="s">
        <v>915</v>
      </c>
      <c r="AN144" s="1040"/>
      <c r="AO144" s="1040">
        <v>1000</v>
      </c>
      <c r="AP144" s="1040">
        <v>409636</v>
      </c>
    </row>
    <row r="145" spans="1:42" x14ac:dyDescent="0.3">
      <c r="A145" s="1040">
        <v>98</v>
      </c>
      <c r="B145" s="1040">
        <v>75531</v>
      </c>
      <c r="C145" s="1040" t="s">
        <v>558</v>
      </c>
      <c r="D145" s="1040" t="str">
        <f t="shared" si="3"/>
        <v>061901</v>
      </c>
      <c r="E145" s="1040" t="s">
        <v>559</v>
      </c>
      <c r="F145" s="1040" t="str">
        <f>"023"</f>
        <v>023</v>
      </c>
      <c r="G145" s="1040" t="s">
        <v>906</v>
      </c>
      <c r="H145" s="1041" t="str">
        <f>"999"</f>
        <v>999</v>
      </c>
      <c r="I145" s="1040" t="s">
        <v>586</v>
      </c>
      <c r="J145" s="1040">
        <v>409770</v>
      </c>
      <c r="K145" s="1040"/>
      <c r="L145" s="1040" t="s">
        <v>561</v>
      </c>
      <c r="M145" s="1041"/>
      <c r="N145" s="1041" t="s">
        <v>576</v>
      </c>
      <c r="O145" s="1041" t="s">
        <v>576</v>
      </c>
      <c r="P145" s="1041" t="s">
        <v>576</v>
      </c>
      <c r="Q145" s="1041" t="s">
        <v>576</v>
      </c>
      <c r="R145" s="1040">
        <v>0</v>
      </c>
      <c r="S145" s="1041">
        <v>0</v>
      </c>
      <c r="T145" s="1042"/>
      <c r="U145" s="1042"/>
      <c r="V145" s="1042"/>
      <c r="W145" s="1042">
        <v>289362</v>
      </c>
      <c r="X145" s="1042"/>
      <c r="Y145" s="1042"/>
      <c r="Z145" s="1040"/>
      <c r="AA145" s="1040"/>
      <c r="AB145" s="1040"/>
      <c r="AC145" s="1040"/>
      <c r="AD145" s="1040"/>
      <c r="AE145" s="1041"/>
      <c r="AF145" s="1040"/>
      <c r="AG145" s="1040">
        <v>0</v>
      </c>
      <c r="AH145" s="1040" t="s">
        <v>909</v>
      </c>
      <c r="AI145" s="1040" t="s">
        <v>910</v>
      </c>
      <c r="AJ145" s="1040" t="s">
        <v>571</v>
      </c>
      <c r="AK145" s="1041">
        <v>76210</v>
      </c>
      <c r="AL145" s="1040"/>
      <c r="AM145" s="1040"/>
      <c r="AN145" s="1040"/>
      <c r="AO145" s="1040">
        <v>0</v>
      </c>
      <c r="AP145" s="1040">
        <v>409770</v>
      </c>
    </row>
    <row r="146" spans="1:42" s="1059" customFormat="1" x14ac:dyDescent="0.3">
      <c r="A146" s="1056"/>
      <c r="B146" s="1056"/>
      <c r="C146" s="1056"/>
      <c r="D146" s="1056"/>
      <c r="E146" s="1056"/>
      <c r="F146" s="1056"/>
      <c r="G146" s="1056"/>
      <c r="H146" s="1057"/>
      <c r="I146" s="1056"/>
      <c r="J146" s="1056"/>
      <c r="K146" s="1056"/>
      <c r="L146" s="1056"/>
      <c r="M146" s="1057"/>
      <c r="N146" s="1057"/>
      <c r="O146" s="1057"/>
      <c r="P146" s="1057"/>
      <c r="Q146" s="1057"/>
      <c r="R146" s="1056"/>
      <c r="S146" s="1057"/>
      <c r="T146" s="1058"/>
      <c r="U146" s="1058"/>
      <c r="V146" s="1058"/>
      <c r="W146" s="1058"/>
      <c r="X146" s="1058"/>
      <c r="Y146" s="1058"/>
      <c r="Z146" s="1056"/>
      <c r="AA146" s="1056"/>
      <c r="AB146" s="1056"/>
      <c r="AC146" s="1056"/>
      <c r="AD146" s="1056"/>
      <c r="AE146" s="1057"/>
      <c r="AF146" s="1056"/>
      <c r="AG146" s="1056"/>
      <c r="AH146" s="1056"/>
      <c r="AI146" s="1056"/>
      <c r="AJ146" s="1056"/>
      <c r="AK146" s="1057"/>
      <c r="AL146" s="1056"/>
      <c r="AM146" s="1056"/>
      <c r="AN146" s="1056"/>
      <c r="AO146" s="1056"/>
      <c r="AP146" s="1056"/>
    </row>
    <row r="147" spans="1:42" s="1059" customFormat="1" x14ac:dyDescent="0.3">
      <c r="A147" s="1060"/>
      <c r="B147" s="1060"/>
      <c r="C147" s="1060"/>
      <c r="D147" s="1060"/>
      <c r="E147" s="1060"/>
      <c r="F147" s="1060"/>
      <c r="G147" s="1060"/>
      <c r="H147" s="1061"/>
      <c r="I147" s="1062" t="s">
        <v>916</v>
      </c>
      <c r="J147" s="1060"/>
      <c r="K147" s="1060"/>
      <c r="L147" s="1060"/>
      <c r="M147" s="1061"/>
      <c r="N147" s="1061"/>
      <c r="O147" s="1061"/>
      <c r="P147" s="1061"/>
      <c r="Q147" s="1061"/>
      <c r="R147" s="1060"/>
      <c r="S147" s="1061"/>
      <c r="T147" s="1063"/>
      <c r="U147" s="1063"/>
      <c r="V147" s="1063"/>
      <c r="W147" s="1063"/>
      <c r="X147" s="1063"/>
      <c r="Y147" s="1063"/>
      <c r="Z147" s="1060"/>
      <c r="AA147" s="1060"/>
      <c r="AB147" s="1060"/>
      <c r="AC147" s="1060"/>
      <c r="AD147" s="1060"/>
      <c r="AE147" s="1061"/>
      <c r="AF147" s="1060"/>
      <c r="AG147" s="1060"/>
      <c r="AH147" s="1060"/>
      <c r="AI147" s="1060"/>
      <c r="AJ147" s="1060"/>
      <c r="AK147" s="1061"/>
      <c r="AL147" s="1060"/>
      <c r="AM147" s="1060"/>
      <c r="AN147" s="1060"/>
      <c r="AO147" s="1060"/>
      <c r="AP147" s="1060"/>
    </row>
    <row r="148" spans="1:42" x14ac:dyDescent="0.3">
      <c r="A148" s="1040">
        <v>98</v>
      </c>
      <c r="B148" s="1040">
        <v>75531</v>
      </c>
      <c r="C148" s="1040" t="s">
        <v>558</v>
      </c>
      <c r="D148" s="1040" t="str">
        <f t="shared" si="3"/>
        <v>061901</v>
      </c>
      <c r="E148" s="1040" t="s">
        <v>559</v>
      </c>
      <c r="F148" s="1040" t="str">
        <f>"024"</f>
        <v>024</v>
      </c>
      <c r="H148" s="1041" t="str">
        <f>"26A"</f>
        <v>26A</v>
      </c>
      <c r="I148" s="1040" t="s">
        <v>560</v>
      </c>
      <c r="J148" s="1040">
        <v>409535</v>
      </c>
      <c r="K148" s="1045">
        <v>41393</v>
      </c>
      <c r="L148" s="1040" t="s">
        <v>561</v>
      </c>
      <c r="M148" s="1041">
        <v>2001</v>
      </c>
      <c r="N148" s="1041" t="s">
        <v>562</v>
      </c>
      <c r="O148" s="1041" t="s">
        <v>562</v>
      </c>
      <c r="P148" s="1041" t="s">
        <v>562</v>
      </c>
      <c r="Q148" s="1041" t="s">
        <v>562</v>
      </c>
      <c r="R148" s="1040">
        <v>14</v>
      </c>
      <c r="S148" s="1041">
        <v>1</v>
      </c>
      <c r="T148" s="1042">
        <v>77283</v>
      </c>
      <c r="U148" s="1042">
        <v>12241424</v>
      </c>
      <c r="V148" s="1042">
        <v>1889563</v>
      </c>
      <c r="W148" s="1042"/>
      <c r="X148" s="1042">
        <v>158</v>
      </c>
      <c r="Y148" s="1042">
        <v>24</v>
      </c>
      <c r="Z148" s="1040" t="s">
        <v>563</v>
      </c>
      <c r="AA148" s="1040" t="s">
        <v>693</v>
      </c>
      <c r="AB148" s="1040" t="s">
        <v>565</v>
      </c>
      <c r="AC148" s="1040" t="s">
        <v>566</v>
      </c>
      <c r="AD148" s="1040" t="s">
        <v>917</v>
      </c>
      <c r="AE148" s="1041"/>
      <c r="AF148" s="1040" t="s">
        <v>568</v>
      </c>
      <c r="AG148" s="1040">
        <v>0</v>
      </c>
      <c r="AH148" s="1040" t="s">
        <v>918</v>
      </c>
      <c r="AI148" s="1040" t="s">
        <v>594</v>
      </c>
      <c r="AJ148" s="1040" t="s">
        <v>571</v>
      </c>
      <c r="AK148" s="1041">
        <v>76210</v>
      </c>
      <c r="AL148" s="1040" t="s">
        <v>919</v>
      </c>
      <c r="AM148" s="1040" t="s">
        <v>920</v>
      </c>
      <c r="AN148" s="1040" t="s">
        <v>921</v>
      </c>
      <c r="AO148" s="1040">
        <v>11676156</v>
      </c>
      <c r="AP148" s="1040">
        <v>409535</v>
      </c>
    </row>
    <row r="149" spans="1:42" x14ac:dyDescent="0.3">
      <c r="A149" s="1040">
        <v>98</v>
      </c>
      <c r="B149" s="1040">
        <v>75531</v>
      </c>
      <c r="C149" s="1040" t="s">
        <v>558</v>
      </c>
      <c r="D149" s="1040" t="str">
        <f t="shared" si="3"/>
        <v>061901</v>
      </c>
      <c r="E149" s="1040" t="s">
        <v>559</v>
      </c>
      <c r="F149" s="1040" t="str">
        <f>"024"</f>
        <v>024</v>
      </c>
      <c r="G149" s="1040" t="s">
        <v>916</v>
      </c>
      <c r="H149" s="1041" t="str">
        <f>"26B"</f>
        <v>26B</v>
      </c>
      <c r="I149" s="1040" t="s">
        <v>922</v>
      </c>
      <c r="J149" s="1040">
        <v>409637</v>
      </c>
      <c r="K149" s="1045">
        <v>41393</v>
      </c>
      <c r="L149" s="1040" t="s">
        <v>561</v>
      </c>
      <c r="M149" s="1041">
        <v>2005</v>
      </c>
      <c r="N149" s="1041" t="s">
        <v>576</v>
      </c>
      <c r="O149" s="1041" t="s">
        <v>576</v>
      </c>
      <c r="P149" s="1041" t="s">
        <v>576</v>
      </c>
      <c r="Q149" s="1041" t="s">
        <v>576</v>
      </c>
      <c r="R149" s="1040">
        <v>6</v>
      </c>
      <c r="S149" s="1041">
        <v>1</v>
      </c>
      <c r="T149" s="1042">
        <v>120</v>
      </c>
      <c r="U149" s="1042">
        <v>2137</v>
      </c>
      <c r="V149" s="1042">
        <v>2040</v>
      </c>
      <c r="W149" s="1042"/>
      <c r="X149" s="1042">
        <v>18</v>
      </c>
      <c r="Y149" s="1042">
        <v>17</v>
      </c>
      <c r="Z149" s="1040" t="s">
        <v>577</v>
      </c>
      <c r="AA149" s="1040" t="s">
        <v>578</v>
      </c>
      <c r="AB149" s="1040" t="s">
        <v>606</v>
      </c>
      <c r="AC149" s="1040" t="s">
        <v>606</v>
      </c>
      <c r="AD149" s="1040" t="s">
        <v>581</v>
      </c>
      <c r="AE149" s="1054"/>
      <c r="AF149" s="1040" t="s">
        <v>582</v>
      </c>
      <c r="AG149" s="1040">
        <v>0</v>
      </c>
      <c r="AH149" s="1040" t="s">
        <v>918</v>
      </c>
      <c r="AI149" s="1040" t="s">
        <v>594</v>
      </c>
      <c r="AJ149" s="1040" t="s">
        <v>571</v>
      </c>
      <c r="AK149" s="1041">
        <v>76210</v>
      </c>
      <c r="AL149" s="1040" t="s">
        <v>923</v>
      </c>
      <c r="AM149" s="1040" t="s">
        <v>924</v>
      </c>
      <c r="AN149" s="1040" t="s">
        <v>689</v>
      </c>
      <c r="AO149" s="1040">
        <v>2042</v>
      </c>
      <c r="AP149" s="1040">
        <v>409637</v>
      </c>
    </row>
    <row r="150" spans="1:42" x14ac:dyDescent="0.3">
      <c r="A150" s="1040">
        <v>98</v>
      </c>
      <c r="B150" s="1040">
        <v>75531</v>
      </c>
      <c r="C150" s="1040" t="s">
        <v>558</v>
      </c>
      <c r="D150" s="1040" t="str">
        <f t="shared" si="3"/>
        <v>061901</v>
      </c>
      <c r="E150" s="1040" t="s">
        <v>559</v>
      </c>
      <c r="F150" s="1040" t="str">
        <f>"024"</f>
        <v>024</v>
      </c>
      <c r="G150" s="1040" t="s">
        <v>916</v>
      </c>
      <c r="H150" s="1041" t="str">
        <f>"26C"</f>
        <v>26C</v>
      </c>
      <c r="I150" s="1040" t="s">
        <v>925</v>
      </c>
      <c r="J150" s="1040">
        <v>409638</v>
      </c>
      <c r="K150" s="1045">
        <v>41393</v>
      </c>
      <c r="L150" s="1040" t="s">
        <v>561</v>
      </c>
      <c r="M150" s="1041">
        <v>2005</v>
      </c>
      <c r="N150" s="1041" t="s">
        <v>576</v>
      </c>
      <c r="O150" s="1041" t="s">
        <v>576</v>
      </c>
      <c r="P150" s="1041" t="s">
        <v>576</v>
      </c>
      <c r="Q150" s="1041" t="s">
        <v>576</v>
      </c>
      <c r="R150" s="1040">
        <v>8</v>
      </c>
      <c r="S150" s="1041">
        <v>1</v>
      </c>
      <c r="T150" s="1042">
        <v>120</v>
      </c>
      <c r="U150" s="1042">
        <v>2137</v>
      </c>
      <c r="V150" s="1042">
        <v>2040</v>
      </c>
      <c r="W150" s="1042"/>
      <c r="X150" s="1042">
        <v>18</v>
      </c>
      <c r="Y150" s="1042">
        <v>17</v>
      </c>
      <c r="Z150" s="1040" t="s">
        <v>577</v>
      </c>
      <c r="AA150" s="1040" t="s">
        <v>615</v>
      </c>
      <c r="AB150" s="1040" t="s">
        <v>606</v>
      </c>
      <c r="AC150" s="1040" t="s">
        <v>606</v>
      </c>
      <c r="AD150" s="1040" t="s">
        <v>616</v>
      </c>
      <c r="AE150" s="1041"/>
      <c r="AF150" s="1040" t="s">
        <v>582</v>
      </c>
      <c r="AG150" s="1040">
        <v>0</v>
      </c>
      <c r="AH150" s="1040" t="s">
        <v>918</v>
      </c>
      <c r="AI150" s="1040" t="s">
        <v>594</v>
      </c>
      <c r="AJ150" s="1040" t="s">
        <v>571</v>
      </c>
      <c r="AK150" s="1041">
        <v>76210</v>
      </c>
      <c r="AL150" s="1040" t="s">
        <v>926</v>
      </c>
      <c r="AM150" s="1040" t="s">
        <v>927</v>
      </c>
      <c r="AN150" s="1040" t="s">
        <v>689</v>
      </c>
      <c r="AO150" s="1040">
        <v>2042</v>
      </c>
      <c r="AP150" s="1040">
        <v>409638</v>
      </c>
    </row>
    <row r="151" spans="1:42" x14ac:dyDescent="0.3">
      <c r="A151" s="1040">
        <v>98</v>
      </c>
      <c r="B151" s="1040">
        <v>75531</v>
      </c>
      <c r="C151" s="1040" t="s">
        <v>558</v>
      </c>
      <c r="D151" s="1040" t="str">
        <f t="shared" si="3"/>
        <v>061901</v>
      </c>
      <c r="E151" s="1040" t="s">
        <v>559</v>
      </c>
      <c r="F151" s="1040" t="str">
        <f>"024"</f>
        <v>024</v>
      </c>
      <c r="G151" s="1040" t="s">
        <v>916</v>
      </c>
      <c r="H151" s="1041" t="str">
        <f>"26D"</f>
        <v>26D</v>
      </c>
      <c r="I151" s="1040" t="s">
        <v>928</v>
      </c>
      <c r="J151" s="1040">
        <v>409639</v>
      </c>
      <c r="K151" s="1045">
        <v>41393</v>
      </c>
      <c r="L151" s="1040" t="s">
        <v>561</v>
      </c>
      <c r="M151" s="1041">
        <v>2005</v>
      </c>
      <c r="N151" s="1041" t="s">
        <v>576</v>
      </c>
      <c r="O151" s="1041" t="s">
        <v>576</v>
      </c>
      <c r="P151" s="1041" t="s">
        <v>576</v>
      </c>
      <c r="Q151" s="1041" t="s">
        <v>576</v>
      </c>
      <c r="R151" s="1040">
        <v>7</v>
      </c>
      <c r="S151" s="1041">
        <v>1</v>
      </c>
      <c r="T151" s="1042">
        <v>120</v>
      </c>
      <c r="U151" s="1042">
        <v>2137</v>
      </c>
      <c r="V151" s="1042">
        <v>2040</v>
      </c>
      <c r="W151" s="1042"/>
      <c r="X151" s="1042">
        <v>18</v>
      </c>
      <c r="Y151" s="1042">
        <v>17</v>
      </c>
      <c r="Z151" s="1040" t="s">
        <v>577</v>
      </c>
      <c r="AA151" s="1040" t="s">
        <v>578</v>
      </c>
      <c r="AB151" s="1040" t="s">
        <v>606</v>
      </c>
      <c r="AC151" s="1040" t="s">
        <v>606</v>
      </c>
      <c r="AD151" s="1040" t="s">
        <v>616</v>
      </c>
      <c r="AE151" s="1041"/>
      <c r="AF151" s="1040" t="s">
        <v>582</v>
      </c>
      <c r="AG151" s="1040">
        <v>0</v>
      </c>
      <c r="AH151" s="1040" t="s">
        <v>918</v>
      </c>
      <c r="AI151" s="1040" t="s">
        <v>594</v>
      </c>
      <c r="AJ151" s="1040" t="s">
        <v>571</v>
      </c>
      <c r="AK151" s="1041">
        <v>76210</v>
      </c>
      <c r="AL151" s="1040" t="s">
        <v>923</v>
      </c>
      <c r="AM151" s="1040" t="s">
        <v>929</v>
      </c>
      <c r="AN151" s="1040" t="s">
        <v>689</v>
      </c>
      <c r="AO151" s="1040">
        <v>2042</v>
      </c>
      <c r="AP151" s="1040">
        <v>409639</v>
      </c>
    </row>
    <row r="152" spans="1:42" ht="15.75" customHeight="1" x14ac:dyDescent="0.3">
      <c r="A152" s="1040">
        <v>98</v>
      </c>
      <c r="B152" s="1040">
        <v>75531</v>
      </c>
      <c r="C152" s="1040" t="s">
        <v>558</v>
      </c>
      <c r="D152" s="1040" t="str">
        <f t="shared" si="3"/>
        <v>061901</v>
      </c>
      <c r="E152" s="1040" t="s">
        <v>559</v>
      </c>
      <c r="F152" s="1040" t="str">
        <f>"024"</f>
        <v>024</v>
      </c>
      <c r="G152" s="1040" t="s">
        <v>916</v>
      </c>
      <c r="H152" s="1041" t="str">
        <f>"999"</f>
        <v>999</v>
      </c>
      <c r="I152" s="1040" t="s">
        <v>586</v>
      </c>
      <c r="J152" s="1040">
        <v>409762</v>
      </c>
      <c r="K152" s="1040"/>
      <c r="L152" s="1040" t="s">
        <v>561</v>
      </c>
      <c r="M152" s="1041"/>
      <c r="N152" s="1041" t="s">
        <v>576</v>
      </c>
      <c r="O152" s="1041" t="s">
        <v>576</v>
      </c>
      <c r="P152" s="1041" t="s">
        <v>576</v>
      </c>
      <c r="Q152" s="1041" t="s">
        <v>576</v>
      </c>
      <c r="R152" s="1040">
        <v>0</v>
      </c>
      <c r="S152" s="1041">
        <v>0</v>
      </c>
      <c r="T152" s="1042"/>
      <c r="U152" s="1042"/>
      <c r="V152" s="1042"/>
      <c r="W152" s="1042">
        <v>242183</v>
      </c>
      <c r="X152" s="1042"/>
      <c r="Y152" s="1042"/>
      <c r="Z152" s="1040"/>
      <c r="AA152" s="1040"/>
      <c r="AB152" s="1040"/>
      <c r="AC152" s="1040"/>
      <c r="AD152" s="1040"/>
      <c r="AE152" s="1041"/>
      <c r="AF152" s="1040"/>
      <c r="AG152" s="1040">
        <v>0</v>
      </c>
      <c r="AH152" s="1040" t="s">
        <v>918</v>
      </c>
      <c r="AI152" s="1040" t="s">
        <v>594</v>
      </c>
      <c r="AJ152" s="1040" t="s">
        <v>571</v>
      </c>
      <c r="AK152" s="1041">
        <v>76210</v>
      </c>
      <c r="AL152" s="1040"/>
      <c r="AM152" s="1040"/>
      <c r="AN152" s="1040"/>
      <c r="AO152" s="1040">
        <v>0</v>
      </c>
      <c r="AP152" s="1040">
        <v>409762</v>
      </c>
    </row>
    <row r="153" spans="1:42" s="1059" customFormat="1" x14ac:dyDescent="0.3">
      <c r="A153" s="1056"/>
      <c r="B153" s="1056"/>
      <c r="C153" s="1056"/>
      <c r="D153" s="1056"/>
      <c r="E153" s="1056"/>
      <c r="F153" s="1056"/>
      <c r="G153" s="1056"/>
      <c r="H153" s="1057"/>
      <c r="I153" s="1056"/>
      <c r="J153" s="1056"/>
      <c r="K153" s="1056"/>
      <c r="L153" s="1056"/>
      <c r="M153" s="1057"/>
      <c r="N153" s="1057"/>
      <c r="O153" s="1057"/>
      <c r="P153" s="1057"/>
      <c r="Q153" s="1057"/>
      <c r="R153" s="1056"/>
      <c r="S153" s="1057"/>
      <c r="T153" s="1058"/>
      <c r="U153" s="1058"/>
      <c r="V153" s="1058"/>
      <c r="W153" s="1058"/>
      <c r="X153" s="1058"/>
      <c r="Y153" s="1058"/>
      <c r="Z153" s="1056"/>
      <c r="AA153" s="1056"/>
      <c r="AB153" s="1056"/>
      <c r="AC153" s="1056"/>
      <c r="AD153" s="1056"/>
      <c r="AE153" s="1057"/>
      <c r="AF153" s="1056"/>
      <c r="AG153" s="1056"/>
      <c r="AH153" s="1056"/>
      <c r="AI153" s="1056"/>
      <c r="AJ153" s="1056"/>
      <c r="AK153" s="1057"/>
      <c r="AL153" s="1056"/>
      <c r="AM153" s="1056"/>
      <c r="AN153" s="1056"/>
      <c r="AO153" s="1056"/>
      <c r="AP153" s="1056"/>
    </row>
    <row r="154" spans="1:42" s="1059" customFormat="1" x14ac:dyDescent="0.3">
      <c r="A154" s="1060"/>
      <c r="B154" s="1060"/>
      <c r="C154" s="1060"/>
      <c r="D154" s="1060"/>
      <c r="E154" s="1060"/>
      <c r="F154" s="1060"/>
      <c r="G154" s="1060"/>
      <c r="H154" s="1061"/>
      <c r="I154" s="1062" t="s">
        <v>930</v>
      </c>
      <c r="J154" s="1060"/>
      <c r="K154" s="1060"/>
      <c r="L154" s="1060"/>
      <c r="M154" s="1061"/>
      <c r="N154" s="1061"/>
      <c r="O154" s="1061"/>
      <c r="P154" s="1061"/>
      <c r="Q154" s="1061"/>
      <c r="R154" s="1060"/>
      <c r="S154" s="1061"/>
      <c r="T154" s="1063"/>
      <c r="U154" s="1063"/>
      <c r="V154" s="1063"/>
      <c r="W154" s="1063"/>
      <c r="X154" s="1063"/>
      <c r="Y154" s="1063"/>
      <c r="Z154" s="1060"/>
      <c r="AA154" s="1060"/>
      <c r="AB154" s="1060"/>
      <c r="AC154" s="1060"/>
      <c r="AD154" s="1060"/>
      <c r="AE154" s="1061"/>
      <c r="AF154" s="1060"/>
      <c r="AG154" s="1060"/>
      <c r="AH154" s="1060"/>
      <c r="AI154" s="1060"/>
      <c r="AJ154" s="1060"/>
      <c r="AK154" s="1061"/>
      <c r="AL154" s="1060"/>
      <c r="AM154" s="1060"/>
      <c r="AN154" s="1060"/>
      <c r="AO154" s="1060"/>
      <c r="AP154" s="1060"/>
    </row>
    <row r="155" spans="1:42" x14ac:dyDescent="0.3">
      <c r="A155" s="1040">
        <v>98</v>
      </c>
      <c r="B155" s="1040">
        <v>75531</v>
      </c>
      <c r="C155" s="1040" t="s">
        <v>558</v>
      </c>
      <c r="D155" s="1040" t="str">
        <f t="shared" si="3"/>
        <v>061901</v>
      </c>
      <c r="E155" s="1040" t="s">
        <v>559</v>
      </c>
      <c r="F155" s="1040" t="str">
        <f t="shared" ref="F155:F160" si="7">"025"</f>
        <v>025</v>
      </c>
      <c r="H155" s="1041" t="str">
        <f>"25A"</f>
        <v>25A</v>
      </c>
      <c r="I155" s="1040" t="s">
        <v>931</v>
      </c>
      <c r="J155" s="1040">
        <v>409572</v>
      </c>
      <c r="K155" s="1045">
        <v>41404</v>
      </c>
      <c r="L155" s="1040" t="s">
        <v>561</v>
      </c>
      <c r="M155" s="1041">
        <v>1998</v>
      </c>
      <c r="N155" s="1041" t="s">
        <v>562</v>
      </c>
      <c r="O155" s="1041" t="s">
        <v>562</v>
      </c>
      <c r="P155" s="1041" t="s">
        <v>562</v>
      </c>
      <c r="Q155" s="1041" t="s">
        <v>562</v>
      </c>
      <c r="R155" s="1040">
        <v>21</v>
      </c>
      <c r="S155" s="1041">
        <v>1</v>
      </c>
      <c r="T155" s="1042">
        <v>59449</v>
      </c>
      <c r="U155" s="1042">
        <v>8664079</v>
      </c>
      <c r="V155" s="1042">
        <v>1886648</v>
      </c>
      <c r="W155" s="1042"/>
      <c r="X155" s="1042">
        <v>146</v>
      </c>
      <c r="Y155" s="1042">
        <v>32</v>
      </c>
      <c r="Z155" s="1040" t="s">
        <v>563</v>
      </c>
      <c r="AA155" s="1040" t="s">
        <v>932</v>
      </c>
      <c r="AB155" s="1040" t="s">
        <v>933</v>
      </c>
      <c r="AC155" s="1040" t="s">
        <v>934</v>
      </c>
      <c r="AD155" s="1040" t="s">
        <v>591</v>
      </c>
      <c r="AE155" s="1055"/>
      <c r="AF155" s="1040" t="s">
        <v>592</v>
      </c>
      <c r="AG155" s="1040">
        <v>0</v>
      </c>
      <c r="AH155" s="1040" t="s">
        <v>935</v>
      </c>
      <c r="AI155" s="1040" t="s">
        <v>594</v>
      </c>
      <c r="AJ155" s="1040" t="s">
        <v>571</v>
      </c>
      <c r="AK155" s="1041">
        <v>76208</v>
      </c>
      <c r="AL155" s="1040" t="s">
        <v>936</v>
      </c>
      <c r="AM155" s="1040" t="s">
        <v>937</v>
      </c>
      <c r="AN155" s="1040" t="s">
        <v>938</v>
      </c>
      <c r="AO155" s="1040">
        <v>8264000</v>
      </c>
      <c r="AP155" s="1040">
        <v>409572</v>
      </c>
    </row>
    <row r="156" spans="1:42" x14ac:dyDescent="0.3">
      <c r="A156" s="1040">
        <v>98</v>
      </c>
      <c r="B156" s="1040">
        <v>75531</v>
      </c>
      <c r="C156" s="1040" t="s">
        <v>558</v>
      </c>
      <c r="D156" s="1040" t="str">
        <f t="shared" si="3"/>
        <v>061901</v>
      </c>
      <c r="E156" s="1040" t="s">
        <v>559</v>
      </c>
      <c r="F156" s="1040" t="str">
        <f t="shared" si="7"/>
        <v>025</v>
      </c>
      <c r="G156" s="1040" t="s">
        <v>930</v>
      </c>
      <c r="H156" s="1041" t="str">
        <f>"414055"</f>
        <v>414055</v>
      </c>
      <c r="I156" s="1040" t="s">
        <v>939</v>
      </c>
      <c r="J156" s="1040">
        <v>414055</v>
      </c>
      <c r="K156" s="1040"/>
      <c r="L156" s="1040" t="s">
        <v>940</v>
      </c>
      <c r="M156" s="1041">
        <v>1989</v>
      </c>
      <c r="N156" s="1041"/>
      <c r="O156" s="1041"/>
      <c r="P156" s="1041"/>
      <c r="Q156" s="1041"/>
      <c r="R156" s="1040">
        <v>0</v>
      </c>
      <c r="S156" s="1041">
        <v>1</v>
      </c>
      <c r="T156" s="1042">
        <v>1536</v>
      </c>
      <c r="U156" s="1042">
        <v>141404</v>
      </c>
      <c r="V156" s="1042">
        <v>22087</v>
      </c>
      <c r="W156" s="1042"/>
      <c r="X156" s="1042">
        <v>92</v>
      </c>
      <c r="Y156" s="1042">
        <v>14</v>
      </c>
      <c r="Z156" s="1040"/>
      <c r="AA156" s="1040"/>
      <c r="AB156" s="1040"/>
      <c r="AC156" s="1040"/>
      <c r="AD156" s="1040"/>
      <c r="AE156" s="1055"/>
      <c r="AF156" s="1040"/>
      <c r="AG156" s="1040"/>
      <c r="AH156" s="1040" t="s">
        <v>935</v>
      </c>
      <c r="AI156" s="1040" t="s">
        <v>594</v>
      </c>
      <c r="AJ156" s="1040" t="s">
        <v>571</v>
      </c>
      <c r="AK156" s="1041">
        <v>76208</v>
      </c>
      <c r="AL156" s="1040"/>
      <c r="AM156" s="1040"/>
      <c r="AN156" s="1040"/>
      <c r="AO156" s="1040">
        <v>140000</v>
      </c>
      <c r="AP156" s="1040">
        <v>414055</v>
      </c>
    </row>
    <row r="157" spans="1:42" x14ac:dyDescent="0.3">
      <c r="A157" s="1040">
        <v>98</v>
      </c>
      <c r="B157" s="1040">
        <v>75531</v>
      </c>
      <c r="C157" s="1040" t="s">
        <v>558</v>
      </c>
      <c r="D157" s="1040" t="str">
        <f t="shared" si="3"/>
        <v>061901</v>
      </c>
      <c r="E157" s="1040" t="s">
        <v>559</v>
      </c>
      <c r="F157" s="1040" t="str">
        <f t="shared" si="7"/>
        <v>025</v>
      </c>
      <c r="G157" s="1040" t="s">
        <v>930</v>
      </c>
      <c r="H157" s="1041" t="str">
        <f>"414057"</f>
        <v>414057</v>
      </c>
      <c r="I157" s="1040" t="s">
        <v>941</v>
      </c>
      <c r="J157" s="1040">
        <v>414057</v>
      </c>
      <c r="K157" s="1040"/>
      <c r="L157" s="1040" t="s">
        <v>940</v>
      </c>
      <c r="M157" s="1041">
        <v>1985</v>
      </c>
      <c r="N157" s="1041"/>
      <c r="O157" s="1041"/>
      <c r="P157" s="1041"/>
      <c r="Q157" s="1041"/>
      <c r="R157" s="1040">
        <v>0</v>
      </c>
      <c r="S157" s="1041">
        <v>1</v>
      </c>
      <c r="T157" s="1042">
        <v>768</v>
      </c>
      <c r="U157" s="1042">
        <v>70702</v>
      </c>
      <c r="V157" s="1042">
        <v>11044</v>
      </c>
      <c r="W157" s="1042"/>
      <c r="X157" s="1042">
        <v>92</v>
      </c>
      <c r="Y157" s="1042">
        <v>14</v>
      </c>
      <c r="Z157" s="1040"/>
      <c r="AA157" s="1040"/>
      <c r="AB157" s="1040"/>
      <c r="AC157" s="1040"/>
      <c r="AD157" s="1040"/>
      <c r="AE157" s="1055"/>
      <c r="AF157" s="1040"/>
      <c r="AG157" s="1040"/>
      <c r="AH157" s="1040" t="s">
        <v>935</v>
      </c>
      <c r="AI157" s="1040" t="s">
        <v>594</v>
      </c>
      <c r="AJ157" s="1040" t="s">
        <v>571</v>
      </c>
      <c r="AK157" s="1041">
        <v>76208</v>
      </c>
      <c r="AL157" s="1040"/>
      <c r="AM157" s="1040"/>
      <c r="AN157" s="1040"/>
      <c r="AO157" s="1040">
        <v>70000</v>
      </c>
      <c r="AP157" s="1040">
        <v>414057</v>
      </c>
    </row>
    <row r="158" spans="1:42" x14ac:dyDescent="0.3">
      <c r="A158" s="1040">
        <v>98</v>
      </c>
      <c r="B158" s="1040">
        <v>75531</v>
      </c>
      <c r="C158" s="1040" t="s">
        <v>558</v>
      </c>
      <c r="D158" s="1040" t="str">
        <f t="shared" si="3"/>
        <v>061901</v>
      </c>
      <c r="E158" s="1040" t="s">
        <v>559</v>
      </c>
      <c r="F158" s="1040" t="str">
        <f t="shared" si="7"/>
        <v>025</v>
      </c>
      <c r="G158" s="1040" t="s">
        <v>930</v>
      </c>
      <c r="H158" s="1041" t="str">
        <f>"414059"</f>
        <v>414059</v>
      </c>
      <c r="I158" s="1040" t="s">
        <v>942</v>
      </c>
      <c r="J158" s="1040">
        <v>414059</v>
      </c>
      <c r="K158" s="1040"/>
      <c r="L158" s="1040" t="s">
        <v>940</v>
      </c>
      <c r="M158" s="1041">
        <v>1985</v>
      </c>
      <c r="N158" s="1041"/>
      <c r="O158" s="1041"/>
      <c r="P158" s="1041"/>
      <c r="Q158" s="1041"/>
      <c r="R158" s="1040">
        <v>0</v>
      </c>
      <c r="S158" s="1041">
        <v>1</v>
      </c>
      <c r="T158" s="1042">
        <v>768</v>
      </c>
      <c r="U158" s="1042">
        <v>70702</v>
      </c>
      <c r="V158" s="1042">
        <v>11044</v>
      </c>
      <c r="W158" s="1042"/>
      <c r="X158" s="1042">
        <v>92</v>
      </c>
      <c r="Y158" s="1042">
        <v>14</v>
      </c>
      <c r="Z158" s="1040"/>
      <c r="AA158" s="1040"/>
      <c r="AB158" s="1040"/>
      <c r="AC158" s="1040"/>
      <c r="AD158" s="1040"/>
      <c r="AE158" s="1055"/>
      <c r="AF158" s="1040"/>
      <c r="AG158" s="1040"/>
      <c r="AH158" s="1040" t="s">
        <v>935</v>
      </c>
      <c r="AI158" s="1040" t="s">
        <v>594</v>
      </c>
      <c r="AJ158" s="1040" t="s">
        <v>571</v>
      </c>
      <c r="AK158" s="1041">
        <v>76208</v>
      </c>
      <c r="AL158" s="1040"/>
      <c r="AM158" s="1040"/>
      <c r="AN158" s="1040"/>
      <c r="AO158" s="1040">
        <v>70000</v>
      </c>
      <c r="AP158" s="1040">
        <v>414059</v>
      </c>
    </row>
    <row r="159" spans="1:42" x14ac:dyDescent="0.3">
      <c r="A159" s="1040">
        <v>98</v>
      </c>
      <c r="B159" s="1040">
        <v>75531</v>
      </c>
      <c r="C159" s="1040" t="s">
        <v>558</v>
      </c>
      <c r="D159" s="1040" t="str">
        <f t="shared" si="3"/>
        <v>061901</v>
      </c>
      <c r="E159" s="1040" t="s">
        <v>559</v>
      </c>
      <c r="F159" s="1040" t="str">
        <f t="shared" si="7"/>
        <v>025</v>
      </c>
      <c r="G159" s="1040" t="s">
        <v>930</v>
      </c>
      <c r="H159" s="1041" t="str">
        <f>"414061"</f>
        <v>414061</v>
      </c>
      <c r="I159" s="1040" t="s">
        <v>943</v>
      </c>
      <c r="J159" s="1040">
        <v>414061</v>
      </c>
      <c r="K159" s="1040"/>
      <c r="L159" s="1040" t="s">
        <v>940</v>
      </c>
      <c r="M159" s="1041">
        <v>1976</v>
      </c>
      <c r="N159" s="1041"/>
      <c r="O159" s="1041"/>
      <c r="P159" s="1041"/>
      <c r="Q159" s="1041"/>
      <c r="R159" s="1040">
        <v>0</v>
      </c>
      <c r="S159" s="1041">
        <v>1</v>
      </c>
      <c r="T159" s="1042">
        <v>1536</v>
      </c>
      <c r="U159" s="1042">
        <v>141404</v>
      </c>
      <c r="V159" s="1042">
        <v>22087</v>
      </c>
      <c r="W159" s="1042"/>
      <c r="X159" s="1042">
        <v>92</v>
      </c>
      <c r="Y159" s="1042">
        <v>14</v>
      </c>
      <c r="Z159" s="1040"/>
      <c r="AA159" s="1040"/>
      <c r="AB159" s="1040"/>
      <c r="AC159" s="1040"/>
      <c r="AD159" s="1040"/>
      <c r="AE159" s="1055"/>
      <c r="AF159" s="1040"/>
      <c r="AG159" s="1040"/>
      <c r="AH159" s="1040" t="s">
        <v>935</v>
      </c>
      <c r="AI159" s="1040" t="s">
        <v>594</v>
      </c>
      <c r="AJ159" s="1040" t="s">
        <v>571</v>
      </c>
      <c r="AK159" s="1041">
        <v>76208</v>
      </c>
      <c r="AL159" s="1040"/>
      <c r="AM159" s="1040"/>
      <c r="AN159" s="1040"/>
      <c r="AO159" s="1040">
        <v>140000</v>
      </c>
      <c r="AP159" s="1040">
        <v>414061</v>
      </c>
    </row>
    <row r="160" spans="1:42" x14ac:dyDescent="0.3">
      <c r="A160" s="1040">
        <v>98</v>
      </c>
      <c r="B160" s="1040">
        <v>75531</v>
      </c>
      <c r="C160" s="1040" t="s">
        <v>558</v>
      </c>
      <c r="D160" s="1040" t="str">
        <f t="shared" si="3"/>
        <v>061901</v>
      </c>
      <c r="E160" s="1040" t="s">
        <v>559</v>
      </c>
      <c r="F160" s="1040" t="str">
        <f t="shared" si="7"/>
        <v>025</v>
      </c>
      <c r="G160" s="1040" t="s">
        <v>930</v>
      </c>
      <c r="H160" s="1041" t="str">
        <f>"999"</f>
        <v>999</v>
      </c>
      <c r="I160" s="1040" t="s">
        <v>586</v>
      </c>
      <c r="J160" s="1040">
        <v>409789</v>
      </c>
      <c r="K160" s="1040"/>
      <c r="L160" s="1040" t="s">
        <v>561</v>
      </c>
      <c r="M160" s="1041"/>
      <c r="N160" s="1041" t="s">
        <v>576</v>
      </c>
      <c r="O160" s="1041" t="s">
        <v>576</v>
      </c>
      <c r="P160" s="1041" t="s">
        <v>576</v>
      </c>
      <c r="Q160" s="1041" t="s">
        <v>576</v>
      </c>
      <c r="R160" s="1040">
        <v>0</v>
      </c>
      <c r="S160" s="1041">
        <v>0</v>
      </c>
      <c r="T160" s="1042"/>
      <c r="U160" s="1042"/>
      <c r="V160" s="1042"/>
      <c r="W160" s="1042">
        <v>161455</v>
      </c>
      <c r="X160" s="1042"/>
      <c r="Y160" s="1042"/>
      <c r="Z160" s="1040"/>
      <c r="AA160" s="1040"/>
      <c r="AB160" s="1040"/>
      <c r="AC160" s="1040"/>
      <c r="AD160" s="1040"/>
      <c r="AE160" s="1041"/>
      <c r="AF160" s="1040"/>
      <c r="AG160" s="1040">
        <v>0</v>
      </c>
      <c r="AH160" s="1040" t="s">
        <v>935</v>
      </c>
      <c r="AI160" s="1040" t="s">
        <v>594</v>
      </c>
      <c r="AJ160" s="1040" t="s">
        <v>571</v>
      </c>
      <c r="AK160" s="1041">
        <v>76208</v>
      </c>
      <c r="AL160" s="1040"/>
      <c r="AM160" s="1040"/>
      <c r="AN160" s="1040"/>
      <c r="AO160" s="1040">
        <v>0</v>
      </c>
      <c r="AP160" s="1040">
        <v>409789</v>
      </c>
    </row>
    <row r="161" spans="1:42" s="1059" customFormat="1" x14ac:dyDescent="0.3">
      <c r="A161" s="1056"/>
      <c r="B161" s="1056"/>
      <c r="C161" s="1056"/>
      <c r="D161" s="1056"/>
      <c r="E161" s="1056"/>
      <c r="F161" s="1056"/>
      <c r="G161" s="1056"/>
      <c r="H161" s="1057"/>
      <c r="I161" s="1056"/>
      <c r="J161" s="1056"/>
      <c r="K161" s="1056"/>
      <c r="L161" s="1056"/>
      <c r="M161" s="1057"/>
      <c r="N161" s="1057"/>
      <c r="O161" s="1057"/>
      <c r="P161" s="1057"/>
      <c r="Q161" s="1057"/>
      <c r="R161" s="1056"/>
      <c r="S161" s="1057"/>
      <c r="T161" s="1058"/>
      <c r="U161" s="1058"/>
      <c r="V161" s="1058"/>
      <c r="W161" s="1058"/>
      <c r="X161" s="1058"/>
      <c r="Y161" s="1058"/>
      <c r="Z161" s="1056"/>
      <c r="AA161" s="1056"/>
      <c r="AB161" s="1056"/>
      <c r="AC161" s="1056"/>
      <c r="AD161" s="1056"/>
      <c r="AE161" s="1057"/>
      <c r="AF161" s="1056"/>
      <c r="AG161" s="1056"/>
      <c r="AH161" s="1056"/>
      <c r="AI161" s="1056"/>
      <c r="AJ161" s="1056"/>
      <c r="AK161" s="1057"/>
      <c r="AL161" s="1056"/>
      <c r="AM161" s="1056"/>
      <c r="AN161" s="1056"/>
      <c r="AO161" s="1056"/>
      <c r="AP161" s="1056"/>
    </row>
    <row r="162" spans="1:42" s="1059" customFormat="1" x14ac:dyDescent="0.3">
      <c r="A162" s="1060"/>
      <c r="B162" s="1060"/>
      <c r="C162" s="1060"/>
      <c r="D162" s="1060"/>
      <c r="E162" s="1060"/>
      <c r="F162" s="1060"/>
      <c r="G162" s="1060"/>
      <c r="H162" s="1061"/>
      <c r="I162" s="1062" t="s">
        <v>944</v>
      </c>
      <c r="J162" s="1060"/>
      <c r="K162" s="1060"/>
      <c r="L162" s="1060"/>
      <c r="M162" s="1061"/>
      <c r="N162" s="1061"/>
      <c r="O162" s="1061"/>
      <c r="P162" s="1061"/>
      <c r="Q162" s="1061"/>
      <c r="R162" s="1060"/>
      <c r="S162" s="1061"/>
      <c r="T162" s="1063"/>
      <c r="U162" s="1063"/>
      <c r="V162" s="1063"/>
      <c r="W162" s="1063"/>
      <c r="X162" s="1063"/>
      <c r="Y162" s="1063"/>
      <c r="Z162" s="1060"/>
      <c r="AA162" s="1060"/>
      <c r="AB162" s="1060"/>
      <c r="AC162" s="1060"/>
      <c r="AD162" s="1060"/>
      <c r="AE162" s="1061"/>
      <c r="AF162" s="1060"/>
      <c r="AG162" s="1060"/>
      <c r="AH162" s="1060"/>
      <c r="AI162" s="1060"/>
      <c r="AJ162" s="1060"/>
      <c r="AK162" s="1061"/>
      <c r="AL162" s="1060"/>
      <c r="AM162" s="1060"/>
      <c r="AN162" s="1060"/>
      <c r="AO162" s="1060"/>
      <c r="AP162" s="1060"/>
    </row>
    <row r="163" spans="1:42" x14ac:dyDescent="0.3">
      <c r="A163" s="1040">
        <v>98</v>
      </c>
      <c r="B163" s="1040">
        <v>75531</v>
      </c>
      <c r="C163" s="1040" t="s">
        <v>558</v>
      </c>
      <c r="D163" s="1040" t="str">
        <f t="shared" si="3"/>
        <v>061901</v>
      </c>
      <c r="E163" s="1040" t="s">
        <v>559</v>
      </c>
      <c r="F163" s="1040" t="str">
        <f>"026"</f>
        <v>026</v>
      </c>
      <c r="H163" s="1041" t="str">
        <f>"36A"</f>
        <v>36A</v>
      </c>
      <c r="I163" s="1040" t="s">
        <v>560</v>
      </c>
      <c r="J163" s="1040">
        <v>409524</v>
      </c>
      <c r="K163" s="1045">
        <v>41395</v>
      </c>
      <c r="L163" s="1040" t="s">
        <v>561</v>
      </c>
      <c r="M163" s="1041">
        <v>2005</v>
      </c>
      <c r="N163" s="1041" t="s">
        <v>562</v>
      </c>
      <c r="O163" s="1041" t="s">
        <v>562</v>
      </c>
      <c r="P163" s="1041" t="s">
        <v>562</v>
      </c>
      <c r="Q163" s="1041" t="s">
        <v>562</v>
      </c>
      <c r="R163" s="1040">
        <v>14</v>
      </c>
      <c r="S163" s="1041">
        <v>1</v>
      </c>
      <c r="T163" s="1042">
        <v>72583</v>
      </c>
      <c r="U163" s="1042">
        <v>10750419</v>
      </c>
      <c r="V163" s="1042">
        <v>1762984</v>
      </c>
      <c r="W163" s="1042"/>
      <c r="X163" s="1042">
        <v>148</v>
      </c>
      <c r="Y163" s="1042">
        <v>24</v>
      </c>
      <c r="Z163" s="1040" t="s">
        <v>563</v>
      </c>
      <c r="AA163" s="1040" t="s">
        <v>945</v>
      </c>
      <c r="AB163" s="1040" t="s">
        <v>565</v>
      </c>
      <c r="AC163" s="1040" t="s">
        <v>566</v>
      </c>
      <c r="AD163" s="1040" t="s">
        <v>946</v>
      </c>
      <c r="AE163" s="1041"/>
      <c r="AF163" s="1040" t="s">
        <v>947</v>
      </c>
      <c r="AG163" s="1040">
        <v>0</v>
      </c>
      <c r="AH163" s="1040" t="s">
        <v>948</v>
      </c>
      <c r="AI163" s="1040" t="s">
        <v>910</v>
      </c>
      <c r="AJ163" s="1040" t="s">
        <v>571</v>
      </c>
      <c r="AK163" s="1041">
        <v>76210</v>
      </c>
      <c r="AL163" s="1040" t="s">
        <v>949</v>
      </c>
      <c r="AM163" s="1040" t="s">
        <v>950</v>
      </c>
      <c r="AN163" s="1040" t="s">
        <v>574</v>
      </c>
      <c r="AO163" s="1040">
        <v>10254000</v>
      </c>
      <c r="AP163" s="1040">
        <v>409524</v>
      </c>
    </row>
    <row r="164" spans="1:42" x14ac:dyDescent="0.3">
      <c r="A164" s="1040">
        <v>98</v>
      </c>
      <c r="B164" s="1040">
        <v>75531</v>
      </c>
      <c r="C164" s="1040" t="s">
        <v>558</v>
      </c>
      <c r="D164" s="1040" t="str">
        <f t="shared" si="3"/>
        <v>061901</v>
      </c>
      <c r="E164" s="1040" t="s">
        <v>559</v>
      </c>
      <c r="F164" s="1040" t="str">
        <f>"026"</f>
        <v>026</v>
      </c>
      <c r="G164" s="1040" t="s">
        <v>944</v>
      </c>
      <c r="H164" s="1041" t="str">
        <f>"36B"</f>
        <v>36B</v>
      </c>
      <c r="I164" s="1040" t="s">
        <v>951</v>
      </c>
      <c r="J164" s="1040">
        <v>409640</v>
      </c>
      <c r="K164" s="1045">
        <v>41395</v>
      </c>
      <c r="L164" s="1040" t="s">
        <v>561</v>
      </c>
      <c r="M164" s="1041">
        <v>2000</v>
      </c>
      <c r="N164" s="1041" t="s">
        <v>576</v>
      </c>
      <c r="O164" s="1041" t="s">
        <v>576</v>
      </c>
      <c r="P164" s="1041" t="s">
        <v>576</v>
      </c>
      <c r="Q164" s="1041" t="s">
        <v>576</v>
      </c>
      <c r="R164" s="1040">
        <v>9</v>
      </c>
      <c r="S164" s="1041">
        <v>1</v>
      </c>
      <c r="T164" s="1042">
        <v>768</v>
      </c>
      <c r="U164" s="1042">
        <v>73388</v>
      </c>
      <c r="V164" s="1042">
        <v>11242</v>
      </c>
      <c r="W164" s="1042"/>
      <c r="X164" s="1042">
        <v>96</v>
      </c>
      <c r="Y164" s="1042">
        <v>15</v>
      </c>
      <c r="Z164" s="1040" t="s">
        <v>577</v>
      </c>
      <c r="AA164" s="1040" t="s">
        <v>578</v>
      </c>
      <c r="AB164" s="1040" t="s">
        <v>579</v>
      </c>
      <c r="AC164" s="1040" t="s">
        <v>580</v>
      </c>
      <c r="AD164" s="1040" t="s">
        <v>581</v>
      </c>
      <c r="AE164" s="1054"/>
      <c r="AF164" s="1040" t="s">
        <v>582</v>
      </c>
      <c r="AG164" s="1040">
        <v>0</v>
      </c>
      <c r="AH164" s="1040" t="s">
        <v>948</v>
      </c>
      <c r="AI164" s="1040" t="s">
        <v>910</v>
      </c>
      <c r="AJ164" s="1040" t="s">
        <v>571</v>
      </c>
      <c r="AK164" s="1041">
        <v>76210</v>
      </c>
      <c r="AL164" s="1040" t="s">
        <v>911</v>
      </c>
      <c r="AM164" s="1040" t="s">
        <v>952</v>
      </c>
      <c r="AN164" s="1040" t="s">
        <v>585</v>
      </c>
      <c r="AO164" s="1040">
        <v>70000</v>
      </c>
      <c r="AP164" s="1040">
        <v>409640</v>
      </c>
    </row>
    <row r="165" spans="1:42" x14ac:dyDescent="0.3">
      <c r="A165" s="1040">
        <v>98</v>
      </c>
      <c r="B165" s="1040">
        <v>75531</v>
      </c>
      <c r="C165" s="1040" t="s">
        <v>558</v>
      </c>
      <c r="D165" s="1040" t="str">
        <f t="shared" si="3"/>
        <v>061901</v>
      </c>
      <c r="E165" s="1040" t="s">
        <v>559</v>
      </c>
      <c r="F165" s="1040" t="str">
        <f>"026"</f>
        <v>026</v>
      </c>
      <c r="G165" s="1040" t="s">
        <v>944</v>
      </c>
      <c r="H165" s="1041" t="str">
        <f>"36C"</f>
        <v>36C</v>
      </c>
      <c r="I165" s="1040" t="s">
        <v>953</v>
      </c>
      <c r="J165" s="1040">
        <v>409641</v>
      </c>
      <c r="K165" s="1045">
        <v>41395</v>
      </c>
      <c r="L165" s="1040" t="s">
        <v>561</v>
      </c>
      <c r="M165" s="1041">
        <v>2000</v>
      </c>
      <c r="N165" s="1041" t="s">
        <v>576</v>
      </c>
      <c r="O165" s="1041" t="s">
        <v>576</v>
      </c>
      <c r="P165" s="1041" t="s">
        <v>576</v>
      </c>
      <c r="Q165" s="1041" t="s">
        <v>576</v>
      </c>
      <c r="R165" s="1040">
        <v>9</v>
      </c>
      <c r="S165" s="1041">
        <v>1</v>
      </c>
      <c r="T165" s="1042">
        <v>768</v>
      </c>
      <c r="U165" s="1042">
        <v>73388</v>
      </c>
      <c r="V165" s="1042">
        <v>11242</v>
      </c>
      <c r="W165" s="1042"/>
      <c r="X165" s="1042">
        <v>96</v>
      </c>
      <c r="Y165" s="1042">
        <v>15</v>
      </c>
      <c r="Z165" s="1040" t="s">
        <v>577</v>
      </c>
      <c r="AA165" s="1040" t="s">
        <v>578</v>
      </c>
      <c r="AB165" s="1040" t="s">
        <v>579</v>
      </c>
      <c r="AC165" s="1040" t="s">
        <v>580</v>
      </c>
      <c r="AD165" s="1040" t="s">
        <v>581</v>
      </c>
      <c r="AE165" s="1054"/>
      <c r="AF165" s="1040" t="s">
        <v>582</v>
      </c>
      <c r="AG165" s="1040">
        <v>0</v>
      </c>
      <c r="AH165" s="1040" t="s">
        <v>948</v>
      </c>
      <c r="AI165" s="1040" t="s">
        <v>910</v>
      </c>
      <c r="AJ165" s="1040" t="s">
        <v>571</v>
      </c>
      <c r="AK165" s="1041">
        <v>76210</v>
      </c>
      <c r="AL165" s="1040" t="s">
        <v>954</v>
      </c>
      <c r="AM165" s="1040" t="s">
        <v>955</v>
      </c>
      <c r="AN165" s="1040" t="s">
        <v>585</v>
      </c>
      <c r="AO165" s="1040">
        <v>70000</v>
      </c>
      <c r="AP165" s="1040">
        <v>409641</v>
      </c>
    </row>
    <row r="166" spans="1:42" x14ac:dyDescent="0.3">
      <c r="A166" s="1040">
        <v>98</v>
      </c>
      <c r="B166" s="1040">
        <v>75531</v>
      </c>
      <c r="C166" s="1040" t="s">
        <v>558</v>
      </c>
      <c r="D166" s="1040" t="str">
        <f t="shared" si="3"/>
        <v>061901</v>
      </c>
      <c r="E166" s="1040" t="s">
        <v>559</v>
      </c>
      <c r="F166" s="1040" t="str">
        <f>"026"</f>
        <v>026</v>
      </c>
      <c r="G166" s="1040" t="s">
        <v>944</v>
      </c>
      <c r="H166" s="1041" t="str">
        <f>"36D"</f>
        <v>36D</v>
      </c>
      <c r="I166" s="1040" t="s">
        <v>956</v>
      </c>
      <c r="J166" s="1040">
        <v>409642</v>
      </c>
      <c r="K166" s="1045">
        <v>41395</v>
      </c>
      <c r="L166" s="1040" t="s">
        <v>561</v>
      </c>
      <c r="M166" s="1041">
        <v>2000</v>
      </c>
      <c r="N166" s="1041" t="s">
        <v>576</v>
      </c>
      <c r="O166" s="1041" t="s">
        <v>576</v>
      </c>
      <c r="P166" s="1041" t="s">
        <v>576</v>
      </c>
      <c r="Q166" s="1041" t="s">
        <v>576</v>
      </c>
      <c r="R166" s="1040">
        <v>9</v>
      </c>
      <c r="S166" s="1041">
        <v>1</v>
      </c>
      <c r="T166" s="1042">
        <v>768</v>
      </c>
      <c r="U166" s="1042">
        <v>73388</v>
      </c>
      <c r="V166" s="1042">
        <v>11242</v>
      </c>
      <c r="W166" s="1042"/>
      <c r="X166" s="1042">
        <v>96</v>
      </c>
      <c r="Y166" s="1042">
        <v>15</v>
      </c>
      <c r="Z166" s="1040" t="s">
        <v>577</v>
      </c>
      <c r="AA166" s="1040" t="s">
        <v>578</v>
      </c>
      <c r="AB166" s="1040" t="s">
        <v>579</v>
      </c>
      <c r="AC166" s="1040" t="s">
        <v>580</v>
      </c>
      <c r="AD166" s="1040" t="s">
        <v>581</v>
      </c>
      <c r="AE166" s="1054"/>
      <c r="AF166" s="1040" t="s">
        <v>582</v>
      </c>
      <c r="AG166" s="1040">
        <v>0</v>
      </c>
      <c r="AH166" s="1040" t="s">
        <v>948</v>
      </c>
      <c r="AI166" s="1040" t="s">
        <v>910</v>
      </c>
      <c r="AJ166" s="1040" t="s">
        <v>571</v>
      </c>
      <c r="AK166" s="1041">
        <v>76210</v>
      </c>
      <c r="AL166" s="1040" t="s">
        <v>957</v>
      </c>
      <c r="AM166" s="1040" t="s">
        <v>958</v>
      </c>
      <c r="AN166" s="1040" t="s">
        <v>585</v>
      </c>
      <c r="AO166" s="1040">
        <v>70000</v>
      </c>
      <c r="AP166" s="1040">
        <v>409642</v>
      </c>
    </row>
    <row r="167" spans="1:42" x14ac:dyDescent="0.3">
      <c r="A167" s="1040">
        <v>98</v>
      </c>
      <c r="B167" s="1040">
        <v>75531</v>
      </c>
      <c r="C167" s="1040" t="s">
        <v>558</v>
      </c>
      <c r="D167" s="1040" t="str">
        <f t="shared" si="3"/>
        <v>061901</v>
      </c>
      <c r="E167" s="1040" t="s">
        <v>559</v>
      </c>
      <c r="F167" s="1040" t="str">
        <f>"026"</f>
        <v>026</v>
      </c>
      <c r="G167" s="1040" t="s">
        <v>944</v>
      </c>
      <c r="H167" s="1041" t="str">
        <f>"999"</f>
        <v>999</v>
      </c>
      <c r="I167" s="1040" t="s">
        <v>586</v>
      </c>
      <c r="J167" s="1040">
        <v>409753</v>
      </c>
      <c r="K167" s="1040"/>
      <c r="L167" s="1040" t="s">
        <v>561</v>
      </c>
      <c r="M167" s="1041"/>
      <c r="N167" s="1041" t="s">
        <v>576</v>
      </c>
      <c r="O167" s="1041" t="s">
        <v>576</v>
      </c>
      <c r="P167" s="1041" t="s">
        <v>576</v>
      </c>
      <c r="Q167" s="1041" t="s">
        <v>576</v>
      </c>
      <c r="R167" s="1040">
        <v>0</v>
      </c>
      <c r="S167" s="1041">
        <v>0</v>
      </c>
      <c r="T167" s="1042"/>
      <c r="U167" s="1042"/>
      <c r="V167" s="1042"/>
      <c r="W167" s="1042">
        <v>185569</v>
      </c>
      <c r="X167" s="1042"/>
      <c r="Y167" s="1042"/>
      <c r="Z167" s="1040"/>
      <c r="AA167" s="1040"/>
      <c r="AB167" s="1040"/>
      <c r="AC167" s="1040"/>
      <c r="AD167" s="1040"/>
      <c r="AE167" s="1041"/>
      <c r="AF167" s="1040"/>
      <c r="AG167" s="1040">
        <v>0</v>
      </c>
      <c r="AH167" s="1040" t="s">
        <v>948</v>
      </c>
      <c r="AI167" s="1040" t="s">
        <v>910</v>
      </c>
      <c r="AJ167" s="1040" t="s">
        <v>571</v>
      </c>
      <c r="AK167" s="1041">
        <v>76210</v>
      </c>
      <c r="AL167" s="1040"/>
      <c r="AM167" s="1040"/>
      <c r="AN167" s="1040"/>
      <c r="AO167" s="1040">
        <v>0</v>
      </c>
      <c r="AP167" s="1040">
        <v>409753</v>
      </c>
    </row>
    <row r="168" spans="1:42" x14ac:dyDescent="0.3">
      <c r="A168" s="1040">
        <v>98</v>
      </c>
      <c r="B168" s="1040">
        <v>75531</v>
      </c>
      <c r="C168" s="1040" t="s">
        <v>558</v>
      </c>
      <c r="D168" s="1040" t="str">
        <f t="shared" si="3"/>
        <v>061901</v>
      </c>
      <c r="E168" s="1040" t="s">
        <v>559</v>
      </c>
      <c r="F168" s="1040" t="str">
        <f>"027"</f>
        <v>027</v>
      </c>
      <c r="G168" s="1040" t="s">
        <v>959</v>
      </c>
      <c r="H168" s="1041" t="str">
        <f>"1A"</f>
        <v>1A</v>
      </c>
      <c r="I168" s="1040" t="s">
        <v>560</v>
      </c>
      <c r="J168" s="1040">
        <v>409521</v>
      </c>
      <c r="K168" s="1045">
        <v>41400</v>
      </c>
      <c r="L168" s="1040" t="s">
        <v>561</v>
      </c>
      <c r="M168" s="1041">
        <v>1970</v>
      </c>
      <c r="N168" s="1041" t="s">
        <v>562</v>
      </c>
      <c r="O168" s="1041" t="s">
        <v>562</v>
      </c>
      <c r="P168" s="1041" t="s">
        <v>562</v>
      </c>
      <c r="Q168" s="1041" t="s">
        <v>562</v>
      </c>
      <c r="R168" s="1040">
        <v>15</v>
      </c>
      <c r="S168" s="1041">
        <v>1</v>
      </c>
      <c r="T168" s="1042">
        <v>81016</v>
      </c>
      <c r="U168" s="1042">
        <v>12067224</v>
      </c>
      <c r="V168" s="1042">
        <v>1967389</v>
      </c>
      <c r="W168" s="1042"/>
      <c r="X168" s="1042">
        <v>149</v>
      </c>
      <c r="Y168" s="1042">
        <v>24</v>
      </c>
      <c r="Z168" s="1040" t="s">
        <v>563</v>
      </c>
      <c r="AA168" s="1040" t="s">
        <v>860</v>
      </c>
      <c r="AB168" s="1040" t="s">
        <v>565</v>
      </c>
      <c r="AC168" s="1040" t="s">
        <v>566</v>
      </c>
      <c r="AD168" s="1040" t="s">
        <v>591</v>
      </c>
      <c r="AE168" s="1055"/>
      <c r="AF168" s="1040" t="s">
        <v>592</v>
      </c>
      <c r="AG168" s="1040">
        <v>0</v>
      </c>
      <c r="AH168" s="1040" t="s">
        <v>960</v>
      </c>
      <c r="AI168" s="1040" t="s">
        <v>594</v>
      </c>
      <c r="AJ168" s="1040" t="s">
        <v>571</v>
      </c>
      <c r="AK168" s="1041">
        <v>76205</v>
      </c>
      <c r="AL168" s="1040" t="s">
        <v>961</v>
      </c>
      <c r="AM168" s="1040" t="s">
        <v>962</v>
      </c>
      <c r="AN168" s="1040" t="s">
        <v>963</v>
      </c>
      <c r="AO168" s="1040">
        <v>11510000</v>
      </c>
      <c r="AP168" s="1040">
        <v>409521</v>
      </c>
    </row>
    <row r="169" spans="1:42" x14ac:dyDescent="0.3">
      <c r="A169" s="1040">
        <v>98</v>
      </c>
      <c r="B169" s="1040">
        <v>75531</v>
      </c>
      <c r="C169" s="1040" t="s">
        <v>558</v>
      </c>
      <c r="D169" s="1040" t="str">
        <f t="shared" si="3"/>
        <v>061901</v>
      </c>
      <c r="E169" s="1040" t="s">
        <v>559</v>
      </c>
      <c r="F169" s="1040" t="str">
        <f>"027"</f>
        <v>027</v>
      </c>
      <c r="G169" s="1040" t="s">
        <v>959</v>
      </c>
      <c r="H169" s="1041" t="str">
        <f>"1B"</f>
        <v>1B</v>
      </c>
      <c r="I169" s="1040" t="s">
        <v>964</v>
      </c>
      <c r="J169" s="1040">
        <v>409643</v>
      </c>
      <c r="K169" s="1045">
        <v>41400</v>
      </c>
      <c r="L169" s="1040" t="s">
        <v>561</v>
      </c>
      <c r="M169" s="1041">
        <v>2000</v>
      </c>
      <c r="N169" s="1041" t="s">
        <v>576</v>
      </c>
      <c r="O169" s="1041" t="s">
        <v>576</v>
      </c>
      <c r="P169" s="1041" t="s">
        <v>576</v>
      </c>
      <c r="Q169" s="1041" t="s">
        <v>576</v>
      </c>
      <c r="R169" s="1040">
        <v>7</v>
      </c>
      <c r="S169" s="1041">
        <v>1</v>
      </c>
      <c r="T169" s="1042">
        <v>160</v>
      </c>
      <c r="U169" s="1042">
        <v>2092</v>
      </c>
      <c r="V169" s="1042">
        <v>2026</v>
      </c>
      <c r="W169" s="1042"/>
      <c r="X169" s="1042">
        <v>13</v>
      </c>
      <c r="Y169" s="1042">
        <v>13</v>
      </c>
      <c r="Z169" s="1040" t="s">
        <v>611</v>
      </c>
      <c r="AA169" s="1040" t="s">
        <v>612</v>
      </c>
      <c r="AB169" s="1040" t="s">
        <v>606</v>
      </c>
      <c r="AC169" s="1040" t="s">
        <v>606</v>
      </c>
      <c r="AD169" s="1040" t="s">
        <v>581</v>
      </c>
      <c r="AE169" s="1041"/>
      <c r="AF169" s="1040" t="s">
        <v>592</v>
      </c>
      <c r="AG169" s="1040">
        <v>0</v>
      </c>
      <c r="AH169" s="1040" t="s">
        <v>960</v>
      </c>
      <c r="AI169" s="1040" t="s">
        <v>594</v>
      </c>
      <c r="AJ169" s="1040" t="s">
        <v>571</v>
      </c>
      <c r="AK169" s="1041">
        <v>76205</v>
      </c>
      <c r="AL169" s="1040" t="s">
        <v>965</v>
      </c>
      <c r="AM169" s="1040" t="s">
        <v>966</v>
      </c>
      <c r="AN169" s="1040" t="s">
        <v>732</v>
      </c>
      <c r="AO169" s="1040">
        <v>2000</v>
      </c>
      <c r="AP169" s="1040">
        <v>409643</v>
      </c>
    </row>
    <row r="170" spans="1:42" x14ac:dyDescent="0.3">
      <c r="A170" s="1040">
        <v>98</v>
      </c>
      <c r="B170" s="1040">
        <v>75531</v>
      </c>
      <c r="C170" s="1040" t="s">
        <v>558</v>
      </c>
      <c r="D170" s="1040" t="str">
        <f t="shared" si="3"/>
        <v>061901</v>
      </c>
      <c r="E170" s="1040" t="s">
        <v>559</v>
      </c>
      <c r="F170" s="1040" t="str">
        <f>"027"</f>
        <v>027</v>
      </c>
      <c r="G170" s="1040" t="s">
        <v>959</v>
      </c>
      <c r="H170" s="1041" t="str">
        <f>"999"</f>
        <v>999</v>
      </c>
      <c r="I170" s="1040" t="s">
        <v>586</v>
      </c>
      <c r="J170" s="1040">
        <v>409750</v>
      </c>
      <c r="K170" s="1040"/>
      <c r="L170" s="1040" t="s">
        <v>561</v>
      </c>
      <c r="M170" s="1041"/>
      <c r="N170" s="1041" t="s">
        <v>576</v>
      </c>
      <c r="O170" s="1041" t="s">
        <v>576</v>
      </c>
      <c r="P170" s="1041" t="s">
        <v>576</v>
      </c>
      <c r="Q170" s="1041" t="s">
        <v>576</v>
      </c>
      <c r="R170" s="1040">
        <v>0</v>
      </c>
      <c r="S170" s="1041">
        <v>0</v>
      </c>
      <c r="T170" s="1042"/>
      <c r="U170" s="1042"/>
      <c r="V170" s="1042"/>
      <c r="W170" s="1042">
        <v>196053</v>
      </c>
      <c r="X170" s="1042"/>
      <c r="Y170" s="1042"/>
      <c r="Z170" s="1040"/>
      <c r="AA170" s="1040"/>
      <c r="AB170" s="1040"/>
      <c r="AC170" s="1040"/>
      <c r="AD170" s="1040"/>
      <c r="AE170" s="1041"/>
      <c r="AF170" s="1040"/>
      <c r="AG170" s="1040">
        <v>0</v>
      </c>
      <c r="AH170" s="1040" t="s">
        <v>960</v>
      </c>
      <c r="AI170" s="1040" t="s">
        <v>594</v>
      </c>
      <c r="AJ170" s="1040" t="s">
        <v>571</v>
      </c>
      <c r="AK170" s="1041">
        <v>76205</v>
      </c>
      <c r="AL170" s="1040"/>
      <c r="AM170" s="1040"/>
      <c r="AN170" s="1040" t="s">
        <v>732</v>
      </c>
      <c r="AO170" s="1040">
        <v>0</v>
      </c>
      <c r="AP170" s="1040">
        <v>409750</v>
      </c>
    </row>
    <row r="171" spans="1:42" s="1059" customFormat="1" x14ac:dyDescent="0.3">
      <c r="A171" s="1056"/>
      <c r="B171" s="1056"/>
      <c r="C171" s="1056"/>
      <c r="D171" s="1056"/>
      <c r="E171" s="1056"/>
      <c r="F171" s="1056"/>
      <c r="G171" s="1056"/>
      <c r="H171" s="1057"/>
      <c r="I171" s="1056"/>
      <c r="J171" s="1056"/>
      <c r="K171" s="1056"/>
      <c r="L171" s="1056"/>
      <c r="M171" s="1057"/>
      <c r="N171" s="1057"/>
      <c r="O171" s="1057"/>
      <c r="P171" s="1057"/>
      <c r="Q171" s="1057"/>
      <c r="R171" s="1056"/>
      <c r="S171" s="1057"/>
      <c r="T171" s="1058"/>
      <c r="U171" s="1058"/>
      <c r="V171" s="1058"/>
      <c r="W171" s="1058"/>
      <c r="X171" s="1058"/>
      <c r="Y171" s="1058"/>
      <c r="Z171" s="1056"/>
      <c r="AA171" s="1056"/>
      <c r="AB171" s="1056"/>
      <c r="AC171" s="1056"/>
      <c r="AD171" s="1056"/>
      <c r="AE171" s="1057"/>
      <c r="AF171" s="1056"/>
      <c r="AG171" s="1056"/>
      <c r="AH171" s="1056"/>
      <c r="AI171" s="1056"/>
      <c r="AJ171" s="1056"/>
      <c r="AK171" s="1057"/>
      <c r="AL171" s="1056"/>
      <c r="AM171" s="1056"/>
      <c r="AN171" s="1056"/>
      <c r="AO171" s="1056"/>
      <c r="AP171" s="1056"/>
    </row>
    <row r="172" spans="1:42" s="1059" customFormat="1" x14ac:dyDescent="0.3">
      <c r="A172" s="1060"/>
      <c r="B172" s="1060"/>
      <c r="C172" s="1060"/>
      <c r="D172" s="1060"/>
      <c r="E172" s="1060"/>
      <c r="F172" s="1060"/>
      <c r="G172" s="1060"/>
      <c r="H172" s="1061"/>
      <c r="I172" s="1062" t="s">
        <v>967</v>
      </c>
      <c r="J172" s="1060"/>
      <c r="K172" s="1060"/>
      <c r="L172" s="1060"/>
      <c r="M172" s="1061"/>
      <c r="N172" s="1061"/>
      <c r="O172" s="1061"/>
      <c r="P172" s="1061"/>
      <c r="Q172" s="1061"/>
      <c r="R172" s="1060"/>
      <c r="S172" s="1061"/>
      <c r="T172" s="1063"/>
      <c r="U172" s="1063"/>
      <c r="V172" s="1063"/>
      <c r="W172" s="1063"/>
      <c r="X172" s="1063"/>
      <c r="Y172" s="1063"/>
      <c r="Z172" s="1060"/>
      <c r="AA172" s="1060"/>
      <c r="AB172" s="1060"/>
      <c r="AC172" s="1060"/>
      <c r="AD172" s="1060"/>
      <c r="AE172" s="1061"/>
      <c r="AF172" s="1060"/>
      <c r="AG172" s="1060"/>
      <c r="AH172" s="1060"/>
      <c r="AI172" s="1060"/>
      <c r="AJ172" s="1060"/>
      <c r="AK172" s="1061"/>
      <c r="AL172" s="1060"/>
      <c r="AM172" s="1060"/>
      <c r="AN172" s="1060"/>
      <c r="AO172" s="1060"/>
      <c r="AP172" s="1060"/>
    </row>
    <row r="173" spans="1:42" x14ac:dyDescent="0.3">
      <c r="A173" s="1040">
        <v>98</v>
      </c>
      <c r="B173" s="1040">
        <v>75531</v>
      </c>
      <c r="C173" s="1040" t="s">
        <v>558</v>
      </c>
      <c r="D173" s="1040" t="str">
        <f t="shared" si="3"/>
        <v>061901</v>
      </c>
      <c r="E173" s="1040" t="s">
        <v>559</v>
      </c>
      <c r="F173" s="1040" t="str">
        <f t="shared" ref="F173:F178" si="8">"028"</f>
        <v>028</v>
      </c>
      <c r="H173" s="1041" t="str">
        <f>"3A"</f>
        <v>3A</v>
      </c>
      <c r="I173" s="1040" t="s">
        <v>560</v>
      </c>
      <c r="J173" s="1040">
        <v>409517</v>
      </c>
      <c r="K173" s="1045">
        <v>41401</v>
      </c>
      <c r="L173" s="1040" t="s">
        <v>561</v>
      </c>
      <c r="M173" s="1041">
        <v>1968</v>
      </c>
      <c r="N173" s="1041" t="s">
        <v>562</v>
      </c>
      <c r="O173" s="1041" t="s">
        <v>562</v>
      </c>
      <c r="P173" s="1041" t="s">
        <v>562</v>
      </c>
      <c r="Q173" s="1041" t="s">
        <v>562</v>
      </c>
      <c r="R173" s="1040">
        <v>15</v>
      </c>
      <c r="S173" s="1041">
        <v>1</v>
      </c>
      <c r="T173" s="1042">
        <v>86530</v>
      </c>
      <c r="U173" s="1042">
        <v>12795871</v>
      </c>
      <c r="V173" s="1042">
        <v>2101273</v>
      </c>
      <c r="W173" s="1042"/>
      <c r="X173" s="1042">
        <v>148</v>
      </c>
      <c r="Y173" s="1042">
        <v>24</v>
      </c>
      <c r="Z173" s="1040" t="s">
        <v>563</v>
      </c>
      <c r="AA173" s="1040" t="s">
        <v>809</v>
      </c>
      <c r="AB173" s="1040" t="s">
        <v>565</v>
      </c>
      <c r="AC173" s="1040" t="s">
        <v>566</v>
      </c>
      <c r="AD173" s="1040" t="s">
        <v>968</v>
      </c>
      <c r="AE173" s="1055"/>
      <c r="AF173" s="1040" t="s">
        <v>908</v>
      </c>
      <c r="AG173" s="1040">
        <v>0</v>
      </c>
      <c r="AH173" s="1040" t="s">
        <v>969</v>
      </c>
      <c r="AI173" s="1040" t="s">
        <v>594</v>
      </c>
      <c r="AJ173" s="1040" t="s">
        <v>571</v>
      </c>
      <c r="AK173" s="1041">
        <v>76209</v>
      </c>
      <c r="AL173" s="1040" t="s">
        <v>970</v>
      </c>
      <c r="AM173" s="1040" t="s">
        <v>971</v>
      </c>
      <c r="AN173" s="1040" t="s">
        <v>972</v>
      </c>
      <c r="AO173" s="1040">
        <v>12205000</v>
      </c>
      <c r="AP173" s="1040">
        <v>409517</v>
      </c>
    </row>
    <row r="174" spans="1:42" x14ac:dyDescent="0.3">
      <c r="A174" s="1040">
        <v>98</v>
      </c>
      <c r="B174" s="1040">
        <v>75531</v>
      </c>
      <c r="C174" s="1040" t="s">
        <v>558</v>
      </c>
      <c r="D174" s="1040" t="str">
        <f t="shared" si="3"/>
        <v>061901</v>
      </c>
      <c r="E174" s="1040" t="s">
        <v>559</v>
      </c>
      <c r="F174" s="1040" t="str">
        <f t="shared" si="8"/>
        <v>028</v>
      </c>
      <c r="G174" s="1040" t="s">
        <v>967</v>
      </c>
      <c r="H174" s="1041" t="str">
        <f>"3B"</f>
        <v>3B</v>
      </c>
      <c r="I174" s="1040" t="s">
        <v>973</v>
      </c>
      <c r="J174" s="1040">
        <v>409644</v>
      </c>
      <c r="K174" s="1045">
        <v>41401</v>
      </c>
      <c r="L174" s="1040" t="s">
        <v>561</v>
      </c>
      <c r="M174" s="1041">
        <v>2000</v>
      </c>
      <c r="N174" s="1041" t="s">
        <v>576</v>
      </c>
      <c r="O174" s="1041" t="s">
        <v>576</v>
      </c>
      <c r="P174" s="1041" t="s">
        <v>576</v>
      </c>
      <c r="Q174" s="1041" t="s">
        <v>576</v>
      </c>
      <c r="R174" s="1040">
        <v>9</v>
      </c>
      <c r="S174" s="1041">
        <v>1</v>
      </c>
      <c r="T174" s="1042">
        <v>768</v>
      </c>
      <c r="U174" s="1042">
        <v>73388</v>
      </c>
      <c r="V174" s="1042">
        <v>11242</v>
      </c>
      <c r="W174" s="1042"/>
      <c r="X174" s="1042">
        <v>96</v>
      </c>
      <c r="Y174" s="1042">
        <v>15</v>
      </c>
      <c r="Z174" s="1040" t="s">
        <v>577</v>
      </c>
      <c r="AA174" s="1040" t="s">
        <v>578</v>
      </c>
      <c r="AB174" s="1040" t="s">
        <v>579</v>
      </c>
      <c r="AC174" s="1040" t="s">
        <v>580</v>
      </c>
      <c r="AD174" s="1040" t="s">
        <v>581</v>
      </c>
      <c r="AE174" s="1054"/>
      <c r="AF174" s="1040" t="s">
        <v>582</v>
      </c>
      <c r="AG174" s="1040">
        <v>0</v>
      </c>
      <c r="AH174" s="1040" t="s">
        <v>969</v>
      </c>
      <c r="AI174" s="1040" t="s">
        <v>594</v>
      </c>
      <c r="AJ174" s="1040" t="s">
        <v>571</v>
      </c>
      <c r="AK174" s="1041">
        <v>76209</v>
      </c>
      <c r="AL174" s="1040" t="s">
        <v>974</v>
      </c>
      <c r="AM174" s="1040" t="s">
        <v>975</v>
      </c>
      <c r="AN174" s="1040" t="s">
        <v>585</v>
      </c>
      <c r="AO174" s="1040">
        <v>70000</v>
      </c>
      <c r="AP174" s="1040">
        <v>409644</v>
      </c>
    </row>
    <row r="175" spans="1:42" x14ac:dyDescent="0.3">
      <c r="A175" s="1040">
        <v>98</v>
      </c>
      <c r="B175" s="1040">
        <v>75531</v>
      </c>
      <c r="C175" s="1040" t="s">
        <v>558</v>
      </c>
      <c r="D175" s="1040" t="str">
        <f t="shared" si="3"/>
        <v>061901</v>
      </c>
      <c r="E175" s="1040" t="s">
        <v>559</v>
      </c>
      <c r="F175" s="1040" t="str">
        <f t="shared" si="8"/>
        <v>028</v>
      </c>
      <c r="G175" s="1040" t="s">
        <v>967</v>
      </c>
      <c r="H175" s="1041" t="str">
        <f>"3C"</f>
        <v>3C</v>
      </c>
      <c r="I175" s="1040" t="s">
        <v>976</v>
      </c>
      <c r="J175" s="1040">
        <v>409645</v>
      </c>
      <c r="K175" s="1045">
        <v>41401</v>
      </c>
      <c r="L175" s="1040" t="s">
        <v>561</v>
      </c>
      <c r="M175" s="1041">
        <v>2000</v>
      </c>
      <c r="N175" s="1041" t="s">
        <v>576</v>
      </c>
      <c r="O175" s="1041" t="s">
        <v>576</v>
      </c>
      <c r="P175" s="1041" t="s">
        <v>576</v>
      </c>
      <c r="Q175" s="1041" t="s">
        <v>576</v>
      </c>
      <c r="R175" s="1040">
        <v>9</v>
      </c>
      <c r="S175" s="1041">
        <v>1</v>
      </c>
      <c r="T175" s="1042">
        <v>768</v>
      </c>
      <c r="U175" s="1042">
        <v>73388</v>
      </c>
      <c r="V175" s="1042">
        <v>11242</v>
      </c>
      <c r="W175" s="1042"/>
      <c r="X175" s="1042">
        <v>96</v>
      </c>
      <c r="Y175" s="1042">
        <v>15</v>
      </c>
      <c r="Z175" s="1040" t="s">
        <v>577</v>
      </c>
      <c r="AA175" s="1040" t="s">
        <v>578</v>
      </c>
      <c r="AB175" s="1040" t="s">
        <v>579</v>
      </c>
      <c r="AC175" s="1040" t="s">
        <v>580</v>
      </c>
      <c r="AD175" s="1040" t="s">
        <v>581</v>
      </c>
      <c r="AE175" s="1054"/>
      <c r="AF175" s="1040" t="s">
        <v>582</v>
      </c>
      <c r="AG175" s="1040">
        <v>0</v>
      </c>
      <c r="AH175" s="1040" t="s">
        <v>969</v>
      </c>
      <c r="AI175" s="1040" t="s">
        <v>594</v>
      </c>
      <c r="AJ175" s="1040" t="s">
        <v>571</v>
      </c>
      <c r="AK175" s="1041">
        <v>76209</v>
      </c>
      <c r="AL175" s="1040" t="s">
        <v>977</v>
      </c>
      <c r="AM175" s="1040" t="s">
        <v>978</v>
      </c>
      <c r="AN175" s="1040" t="s">
        <v>585</v>
      </c>
      <c r="AO175" s="1040">
        <v>70000</v>
      </c>
      <c r="AP175" s="1040">
        <v>409645</v>
      </c>
    </row>
    <row r="176" spans="1:42" x14ac:dyDescent="0.3">
      <c r="A176" s="1040">
        <v>98</v>
      </c>
      <c r="B176" s="1040">
        <v>75531</v>
      </c>
      <c r="C176" s="1040" t="s">
        <v>558</v>
      </c>
      <c r="D176" s="1040" t="str">
        <f t="shared" si="3"/>
        <v>061901</v>
      </c>
      <c r="E176" s="1040" t="s">
        <v>559</v>
      </c>
      <c r="F176" s="1040" t="str">
        <f t="shared" si="8"/>
        <v>028</v>
      </c>
      <c r="G176" s="1040" t="s">
        <v>967</v>
      </c>
      <c r="H176" s="1041" t="str">
        <f>"3D"</f>
        <v>3D</v>
      </c>
      <c r="I176" s="1040" t="s">
        <v>979</v>
      </c>
      <c r="J176" s="1040">
        <v>409646</v>
      </c>
      <c r="K176" s="1045">
        <v>41401</v>
      </c>
      <c r="L176" s="1040" t="s">
        <v>561</v>
      </c>
      <c r="M176" s="1041">
        <v>2000</v>
      </c>
      <c r="N176" s="1041" t="s">
        <v>576</v>
      </c>
      <c r="O176" s="1041" t="s">
        <v>576</v>
      </c>
      <c r="P176" s="1041" t="s">
        <v>576</v>
      </c>
      <c r="Q176" s="1041" t="s">
        <v>576</v>
      </c>
      <c r="R176" s="1040">
        <v>9</v>
      </c>
      <c r="S176" s="1041">
        <v>1</v>
      </c>
      <c r="T176" s="1042">
        <v>768</v>
      </c>
      <c r="U176" s="1042">
        <v>73388</v>
      </c>
      <c r="V176" s="1042">
        <v>11242</v>
      </c>
      <c r="W176" s="1042"/>
      <c r="X176" s="1042">
        <v>96</v>
      </c>
      <c r="Y176" s="1042">
        <v>15</v>
      </c>
      <c r="Z176" s="1040" t="s">
        <v>577</v>
      </c>
      <c r="AA176" s="1040" t="s">
        <v>578</v>
      </c>
      <c r="AB176" s="1040" t="s">
        <v>579</v>
      </c>
      <c r="AC176" s="1040" t="s">
        <v>580</v>
      </c>
      <c r="AD176" s="1040" t="s">
        <v>581</v>
      </c>
      <c r="AE176" s="1054"/>
      <c r="AF176" s="1040" t="s">
        <v>582</v>
      </c>
      <c r="AG176" s="1040">
        <v>0</v>
      </c>
      <c r="AH176" s="1040" t="s">
        <v>969</v>
      </c>
      <c r="AI176" s="1040" t="s">
        <v>594</v>
      </c>
      <c r="AJ176" s="1040" t="s">
        <v>571</v>
      </c>
      <c r="AK176" s="1041">
        <v>76209</v>
      </c>
      <c r="AL176" s="1040" t="s">
        <v>980</v>
      </c>
      <c r="AM176" s="1040" t="s">
        <v>981</v>
      </c>
      <c r="AN176" s="1040" t="s">
        <v>585</v>
      </c>
      <c r="AO176" s="1040">
        <v>70000</v>
      </c>
      <c r="AP176" s="1040">
        <v>409646</v>
      </c>
    </row>
    <row r="177" spans="1:42" x14ac:dyDescent="0.3">
      <c r="A177" s="1040">
        <v>98</v>
      </c>
      <c r="B177" s="1040">
        <v>75531</v>
      </c>
      <c r="C177" s="1040" t="s">
        <v>558</v>
      </c>
      <c r="D177" s="1040" t="str">
        <f t="shared" si="3"/>
        <v>061901</v>
      </c>
      <c r="E177" s="1040" t="s">
        <v>559</v>
      </c>
      <c r="F177" s="1040" t="str">
        <f t="shared" si="8"/>
        <v>028</v>
      </c>
      <c r="G177" s="1040" t="s">
        <v>967</v>
      </c>
      <c r="H177" s="1041" t="str">
        <f>"3E"</f>
        <v>3E</v>
      </c>
      <c r="I177" s="1040" t="s">
        <v>982</v>
      </c>
      <c r="J177" s="1040">
        <v>409647</v>
      </c>
      <c r="K177" s="1045">
        <v>41401</v>
      </c>
      <c r="L177" s="1040" t="s">
        <v>561</v>
      </c>
      <c r="M177" s="1041">
        <v>2000</v>
      </c>
      <c r="N177" s="1041" t="s">
        <v>576</v>
      </c>
      <c r="O177" s="1041" t="s">
        <v>576</v>
      </c>
      <c r="P177" s="1041" t="s">
        <v>576</v>
      </c>
      <c r="Q177" s="1041" t="s">
        <v>576</v>
      </c>
      <c r="R177" s="1040">
        <v>9</v>
      </c>
      <c r="S177" s="1041">
        <v>1</v>
      </c>
      <c r="T177" s="1042">
        <v>768</v>
      </c>
      <c r="U177" s="1042">
        <v>73388</v>
      </c>
      <c r="V177" s="1042">
        <v>11242</v>
      </c>
      <c r="W177" s="1042"/>
      <c r="X177" s="1042">
        <v>96</v>
      </c>
      <c r="Y177" s="1042">
        <v>15</v>
      </c>
      <c r="Z177" s="1040" t="s">
        <v>577</v>
      </c>
      <c r="AA177" s="1040" t="s">
        <v>578</v>
      </c>
      <c r="AB177" s="1040" t="s">
        <v>579</v>
      </c>
      <c r="AC177" s="1040" t="s">
        <v>580</v>
      </c>
      <c r="AD177" s="1040" t="s">
        <v>581</v>
      </c>
      <c r="AE177" s="1054"/>
      <c r="AF177" s="1040" t="s">
        <v>582</v>
      </c>
      <c r="AG177" s="1040">
        <v>0</v>
      </c>
      <c r="AH177" s="1040" t="s">
        <v>969</v>
      </c>
      <c r="AI177" s="1040" t="s">
        <v>594</v>
      </c>
      <c r="AJ177" s="1040" t="s">
        <v>571</v>
      </c>
      <c r="AK177" s="1041">
        <v>76209</v>
      </c>
      <c r="AL177" s="1040" t="s">
        <v>983</v>
      </c>
      <c r="AM177" s="1040" t="s">
        <v>981</v>
      </c>
      <c r="AN177" s="1040" t="s">
        <v>585</v>
      </c>
      <c r="AO177" s="1040">
        <v>70000</v>
      </c>
      <c r="AP177" s="1040">
        <v>409647</v>
      </c>
    </row>
    <row r="178" spans="1:42" x14ac:dyDescent="0.3">
      <c r="A178" s="1040">
        <v>98</v>
      </c>
      <c r="B178" s="1040">
        <v>75531</v>
      </c>
      <c r="C178" s="1040" t="s">
        <v>558</v>
      </c>
      <c r="D178" s="1040" t="str">
        <f t="shared" si="3"/>
        <v>061901</v>
      </c>
      <c r="E178" s="1040" t="s">
        <v>559</v>
      </c>
      <c r="F178" s="1040" t="str">
        <f t="shared" si="8"/>
        <v>028</v>
      </c>
      <c r="G178" s="1040" t="s">
        <v>967</v>
      </c>
      <c r="H178" s="1041" t="str">
        <f>"999"</f>
        <v>999</v>
      </c>
      <c r="I178" s="1040" t="s">
        <v>586</v>
      </c>
      <c r="J178" s="1040">
        <v>409746</v>
      </c>
      <c r="K178" s="1040"/>
      <c r="L178" s="1040" t="s">
        <v>561</v>
      </c>
      <c r="M178" s="1041"/>
      <c r="N178" s="1041" t="s">
        <v>576</v>
      </c>
      <c r="O178" s="1041" t="s">
        <v>576</v>
      </c>
      <c r="P178" s="1041" t="s">
        <v>576</v>
      </c>
      <c r="Q178" s="1041" t="s">
        <v>576</v>
      </c>
      <c r="R178" s="1040">
        <v>0</v>
      </c>
      <c r="S178" s="1041">
        <v>0</v>
      </c>
      <c r="T178" s="1042"/>
      <c r="U178" s="1042"/>
      <c r="V178" s="1042"/>
      <c r="W178" s="1042">
        <v>178230</v>
      </c>
      <c r="X178" s="1042"/>
      <c r="Y178" s="1042"/>
      <c r="Z178" s="1040"/>
      <c r="AA178" s="1040"/>
      <c r="AB178" s="1040"/>
      <c r="AC178" s="1040"/>
      <c r="AD178" s="1040"/>
      <c r="AE178" s="1041"/>
      <c r="AF178" s="1040"/>
      <c r="AG178" s="1040">
        <v>0</v>
      </c>
      <c r="AH178" s="1040" t="s">
        <v>969</v>
      </c>
      <c r="AI178" s="1040" t="s">
        <v>594</v>
      </c>
      <c r="AJ178" s="1040" t="s">
        <v>571</v>
      </c>
      <c r="AK178" s="1041">
        <v>76209</v>
      </c>
      <c r="AL178" s="1040"/>
      <c r="AM178" s="1040"/>
      <c r="AN178" s="1040"/>
      <c r="AO178" s="1040">
        <v>0</v>
      </c>
      <c r="AP178" s="1040">
        <v>409746</v>
      </c>
    </row>
    <row r="179" spans="1:42" s="1059" customFormat="1" x14ac:dyDescent="0.3">
      <c r="A179" s="1056"/>
      <c r="B179" s="1056"/>
      <c r="C179" s="1056"/>
      <c r="D179" s="1056"/>
      <c r="E179" s="1056"/>
      <c r="F179" s="1056"/>
      <c r="G179" s="1056"/>
      <c r="H179" s="1057"/>
      <c r="I179" s="1056"/>
      <c r="J179" s="1056"/>
      <c r="K179" s="1056"/>
      <c r="L179" s="1056"/>
      <c r="M179" s="1057"/>
      <c r="N179" s="1057"/>
      <c r="O179" s="1057"/>
      <c r="P179" s="1057"/>
      <c r="Q179" s="1057"/>
      <c r="R179" s="1056"/>
      <c r="S179" s="1057"/>
      <c r="T179" s="1058"/>
      <c r="U179" s="1058"/>
      <c r="V179" s="1058"/>
      <c r="W179" s="1058"/>
      <c r="X179" s="1058"/>
      <c r="Y179" s="1058"/>
      <c r="Z179" s="1056"/>
      <c r="AA179" s="1056"/>
      <c r="AB179" s="1056"/>
      <c r="AC179" s="1056"/>
      <c r="AD179" s="1056"/>
      <c r="AE179" s="1057"/>
      <c r="AF179" s="1056"/>
      <c r="AG179" s="1056"/>
      <c r="AH179" s="1056"/>
      <c r="AI179" s="1056"/>
      <c r="AJ179" s="1056"/>
      <c r="AK179" s="1057"/>
      <c r="AL179" s="1056"/>
      <c r="AM179" s="1056"/>
      <c r="AN179" s="1056"/>
      <c r="AO179" s="1056"/>
      <c r="AP179" s="1056"/>
    </row>
    <row r="180" spans="1:42" s="1059" customFormat="1" x14ac:dyDescent="0.3">
      <c r="A180" s="1060"/>
      <c r="B180" s="1060"/>
      <c r="C180" s="1060"/>
      <c r="D180" s="1060"/>
      <c r="E180" s="1060"/>
      <c r="F180" s="1060"/>
      <c r="G180" s="1060"/>
      <c r="H180" s="1061"/>
      <c r="I180" s="1062" t="s">
        <v>984</v>
      </c>
      <c r="J180" s="1060"/>
      <c r="K180" s="1060"/>
      <c r="L180" s="1060"/>
      <c r="M180" s="1061"/>
      <c r="N180" s="1061"/>
      <c r="O180" s="1061"/>
      <c r="P180" s="1061"/>
      <c r="Q180" s="1061"/>
      <c r="R180" s="1060"/>
      <c r="S180" s="1061"/>
      <c r="T180" s="1063"/>
      <c r="U180" s="1063"/>
      <c r="V180" s="1063"/>
      <c r="W180" s="1063"/>
      <c r="X180" s="1063"/>
      <c r="Y180" s="1063"/>
      <c r="Z180" s="1060"/>
      <c r="AA180" s="1060"/>
      <c r="AB180" s="1060"/>
      <c r="AC180" s="1060"/>
      <c r="AD180" s="1060"/>
      <c r="AE180" s="1061"/>
      <c r="AF180" s="1060"/>
      <c r="AG180" s="1060"/>
      <c r="AH180" s="1060"/>
      <c r="AI180" s="1060"/>
      <c r="AJ180" s="1060"/>
      <c r="AK180" s="1061"/>
      <c r="AL180" s="1060"/>
      <c r="AM180" s="1060"/>
      <c r="AN180" s="1060"/>
      <c r="AO180" s="1060"/>
      <c r="AP180" s="1060"/>
    </row>
    <row r="181" spans="1:42" x14ac:dyDescent="0.3">
      <c r="A181" s="1040">
        <v>98</v>
      </c>
      <c r="B181" s="1040">
        <v>75531</v>
      </c>
      <c r="C181" s="1040" t="s">
        <v>558</v>
      </c>
      <c r="D181" s="1040" t="str">
        <f t="shared" si="3"/>
        <v>061901</v>
      </c>
      <c r="E181" s="1040" t="s">
        <v>559</v>
      </c>
      <c r="F181" s="1040" t="str">
        <f>"029"</f>
        <v>029</v>
      </c>
      <c r="H181" s="1041" t="str">
        <f>"5A"</f>
        <v>5A</v>
      </c>
      <c r="I181" s="1040" t="s">
        <v>560</v>
      </c>
      <c r="J181" s="1040">
        <v>409528</v>
      </c>
      <c r="K181" s="1045">
        <v>41393</v>
      </c>
      <c r="L181" s="1040" t="s">
        <v>561</v>
      </c>
      <c r="M181" s="1041">
        <v>1982</v>
      </c>
      <c r="N181" s="1041" t="s">
        <v>562</v>
      </c>
      <c r="O181" s="1041" t="s">
        <v>562</v>
      </c>
      <c r="P181" s="1041" t="s">
        <v>562</v>
      </c>
      <c r="Q181" s="1041" t="s">
        <v>562</v>
      </c>
      <c r="R181" s="1040">
        <v>14</v>
      </c>
      <c r="S181" s="1041">
        <v>1</v>
      </c>
      <c r="T181" s="1042">
        <v>73806</v>
      </c>
      <c r="U181" s="1042">
        <v>11879619</v>
      </c>
      <c r="V181" s="1042">
        <v>1805172</v>
      </c>
      <c r="W181" s="1042"/>
      <c r="X181" s="1042">
        <v>161</v>
      </c>
      <c r="Y181" s="1042">
        <v>24</v>
      </c>
      <c r="Z181" s="1040" t="s">
        <v>563</v>
      </c>
      <c r="AA181" s="1040" t="s">
        <v>867</v>
      </c>
      <c r="AB181" s="1040" t="s">
        <v>565</v>
      </c>
      <c r="AC181" s="1040" t="s">
        <v>566</v>
      </c>
      <c r="AD181" s="1040" t="s">
        <v>591</v>
      </c>
      <c r="AE181" s="1055"/>
      <c r="AF181" s="1040" t="s">
        <v>592</v>
      </c>
      <c r="AG181" s="1040">
        <v>0</v>
      </c>
      <c r="AH181" s="1040" t="s">
        <v>985</v>
      </c>
      <c r="AI181" s="1040" t="s">
        <v>594</v>
      </c>
      <c r="AJ181" s="1040" t="s">
        <v>571</v>
      </c>
      <c r="AK181" s="1041">
        <v>76205</v>
      </c>
      <c r="AL181" s="1040" t="s">
        <v>986</v>
      </c>
      <c r="AM181" s="1040" t="s">
        <v>987</v>
      </c>
      <c r="AN181" s="1040" t="s">
        <v>988</v>
      </c>
      <c r="AO181" s="1040">
        <v>11331058</v>
      </c>
      <c r="AP181" s="1040">
        <v>409528</v>
      </c>
    </row>
    <row r="182" spans="1:42" x14ac:dyDescent="0.3">
      <c r="A182" s="1040">
        <v>98</v>
      </c>
      <c r="B182" s="1040">
        <v>75531</v>
      </c>
      <c r="C182" s="1040" t="s">
        <v>558</v>
      </c>
      <c r="D182" s="1040" t="str">
        <f t="shared" ref="D182:D261" si="9">"061901"</f>
        <v>061901</v>
      </c>
      <c r="E182" s="1040" t="s">
        <v>559</v>
      </c>
      <c r="F182" s="1040" t="str">
        <f>"029"</f>
        <v>029</v>
      </c>
      <c r="G182" s="1040" t="s">
        <v>984</v>
      </c>
      <c r="H182" s="1041" t="str">
        <f>"5B"</f>
        <v>5B</v>
      </c>
      <c r="I182" s="1040" t="s">
        <v>989</v>
      </c>
      <c r="J182" s="1040">
        <v>409648</v>
      </c>
      <c r="K182" s="1045">
        <v>41393</v>
      </c>
      <c r="L182" s="1040" t="s">
        <v>561</v>
      </c>
      <c r="M182" s="1041">
        <v>2000</v>
      </c>
      <c r="N182" s="1041" t="s">
        <v>576</v>
      </c>
      <c r="O182" s="1041" t="s">
        <v>576</v>
      </c>
      <c r="P182" s="1041" t="s">
        <v>576</v>
      </c>
      <c r="Q182" s="1041" t="s">
        <v>576</v>
      </c>
      <c r="R182" s="1040">
        <v>9</v>
      </c>
      <c r="S182" s="1041">
        <v>1</v>
      </c>
      <c r="T182" s="1042">
        <v>768</v>
      </c>
      <c r="U182" s="1042">
        <v>74931</v>
      </c>
      <c r="V182" s="1042">
        <v>11320</v>
      </c>
      <c r="W182" s="1042"/>
      <c r="X182" s="1042">
        <v>98</v>
      </c>
      <c r="Y182" s="1042">
        <v>15</v>
      </c>
      <c r="Z182" s="1040" t="s">
        <v>577</v>
      </c>
      <c r="AA182" s="1040" t="s">
        <v>578</v>
      </c>
      <c r="AB182" s="1040" t="s">
        <v>579</v>
      </c>
      <c r="AC182" s="1040" t="s">
        <v>580</v>
      </c>
      <c r="AD182" s="1040" t="s">
        <v>581</v>
      </c>
      <c r="AE182" s="1054"/>
      <c r="AF182" s="1040" t="s">
        <v>582</v>
      </c>
      <c r="AG182" s="1040">
        <v>0</v>
      </c>
      <c r="AH182" s="1040" t="s">
        <v>985</v>
      </c>
      <c r="AI182" s="1040" t="s">
        <v>594</v>
      </c>
      <c r="AJ182" s="1040" t="s">
        <v>571</v>
      </c>
      <c r="AK182" s="1041">
        <v>76205</v>
      </c>
      <c r="AL182" s="1040" t="s">
        <v>990</v>
      </c>
      <c r="AM182" s="1040" t="s">
        <v>991</v>
      </c>
      <c r="AN182" s="1040" t="s">
        <v>992</v>
      </c>
      <c r="AO182" s="1040">
        <v>71470</v>
      </c>
      <c r="AP182" s="1040">
        <v>409648</v>
      </c>
    </row>
    <row r="183" spans="1:42" x14ac:dyDescent="0.3">
      <c r="A183" s="1040">
        <v>98</v>
      </c>
      <c r="B183" s="1040">
        <v>75531</v>
      </c>
      <c r="C183" s="1040" t="s">
        <v>558</v>
      </c>
      <c r="D183" s="1040" t="str">
        <f t="shared" si="9"/>
        <v>061901</v>
      </c>
      <c r="E183" s="1040" t="s">
        <v>559</v>
      </c>
      <c r="F183" s="1040" t="str">
        <f>"029"</f>
        <v>029</v>
      </c>
      <c r="G183" s="1040" t="s">
        <v>984</v>
      </c>
      <c r="H183" s="1041" t="str">
        <f>"5C"</f>
        <v>5C</v>
      </c>
      <c r="I183" s="1040" t="s">
        <v>993</v>
      </c>
      <c r="J183" s="1040">
        <v>409649</v>
      </c>
      <c r="K183" s="1045">
        <v>41393</v>
      </c>
      <c r="L183" s="1040" t="s">
        <v>561</v>
      </c>
      <c r="M183" s="1041">
        <v>2000</v>
      </c>
      <c r="N183" s="1041" t="s">
        <v>576</v>
      </c>
      <c r="O183" s="1041" t="s">
        <v>576</v>
      </c>
      <c r="P183" s="1041" t="s">
        <v>576</v>
      </c>
      <c r="Q183" s="1041" t="s">
        <v>576</v>
      </c>
      <c r="R183" s="1040">
        <v>9</v>
      </c>
      <c r="S183" s="1041">
        <v>1</v>
      </c>
      <c r="T183" s="1042">
        <v>768</v>
      </c>
      <c r="U183" s="1042">
        <v>74931</v>
      </c>
      <c r="V183" s="1042">
        <v>11320</v>
      </c>
      <c r="W183" s="1042"/>
      <c r="X183" s="1042">
        <v>98</v>
      </c>
      <c r="Y183" s="1042">
        <v>15</v>
      </c>
      <c r="Z183" s="1040" t="s">
        <v>577</v>
      </c>
      <c r="AA183" s="1040" t="s">
        <v>578</v>
      </c>
      <c r="AB183" s="1040" t="s">
        <v>579</v>
      </c>
      <c r="AC183" s="1040" t="s">
        <v>580</v>
      </c>
      <c r="AD183" s="1040" t="s">
        <v>581</v>
      </c>
      <c r="AE183" s="1054"/>
      <c r="AF183" s="1040" t="s">
        <v>582</v>
      </c>
      <c r="AG183" s="1040">
        <v>0</v>
      </c>
      <c r="AH183" s="1040" t="s">
        <v>985</v>
      </c>
      <c r="AI183" s="1040" t="s">
        <v>594</v>
      </c>
      <c r="AJ183" s="1040" t="s">
        <v>571</v>
      </c>
      <c r="AK183" s="1041">
        <v>76205</v>
      </c>
      <c r="AL183" s="1040" t="s">
        <v>994</v>
      </c>
      <c r="AM183" s="1040" t="s">
        <v>995</v>
      </c>
      <c r="AN183" s="1040" t="s">
        <v>996</v>
      </c>
      <c r="AO183" s="1040">
        <v>71470</v>
      </c>
      <c r="AP183" s="1040">
        <v>409649</v>
      </c>
    </row>
    <row r="184" spans="1:42" x14ac:dyDescent="0.3">
      <c r="A184" s="1040">
        <v>98</v>
      </c>
      <c r="B184" s="1040">
        <v>75531</v>
      </c>
      <c r="C184" s="1040" t="s">
        <v>558</v>
      </c>
      <c r="D184" s="1040" t="str">
        <f t="shared" si="9"/>
        <v>061901</v>
      </c>
      <c r="E184" s="1040" t="s">
        <v>559</v>
      </c>
      <c r="F184" s="1040" t="str">
        <f>"029"</f>
        <v>029</v>
      </c>
      <c r="G184" s="1040" t="s">
        <v>984</v>
      </c>
      <c r="H184" s="1041" t="str">
        <f>"999"</f>
        <v>999</v>
      </c>
      <c r="I184" s="1040" t="s">
        <v>586</v>
      </c>
      <c r="J184" s="1040">
        <v>409756</v>
      </c>
      <c r="K184" s="1040"/>
      <c r="L184" s="1040" t="s">
        <v>561</v>
      </c>
      <c r="M184" s="1041"/>
      <c r="N184" s="1041" t="s">
        <v>576</v>
      </c>
      <c r="O184" s="1041" t="s">
        <v>576</v>
      </c>
      <c r="P184" s="1041" t="s">
        <v>576</v>
      </c>
      <c r="Q184" s="1041" t="s">
        <v>576</v>
      </c>
      <c r="R184" s="1040">
        <v>0</v>
      </c>
      <c r="S184" s="1041">
        <v>0</v>
      </c>
      <c r="T184" s="1042"/>
      <c r="U184" s="1042"/>
      <c r="V184" s="1042"/>
      <c r="W184" s="1042">
        <v>254764</v>
      </c>
      <c r="X184" s="1042"/>
      <c r="Y184" s="1042"/>
      <c r="Z184" s="1040"/>
      <c r="AA184" s="1040"/>
      <c r="AB184" s="1040"/>
      <c r="AC184" s="1040"/>
      <c r="AD184" s="1040"/>
      <c r="AE184" s="1041"/>
      <c r="AF184" s="1040"/>
      <c r="AG184" s="1040">
        <v>0</v>
      </c>
      <c r="AH184" s="1040" t="s">
        <v>985</v>
      </c>
      <c r="AI184" s="1040" t="s">
        <v>594</v>
      </c>
      <c r="AJ184" s="1040" t="s">
        <v>571</v>
      </c>
      <c r="AK184" s="1041">
        <v>76205</v>
      </c>
      <c r="AL184" s="1040"/>
      <c r="AM184" s="1040"/>
      <c r="AN184" s="1040"/>
      <c r="AO184" s="1040">
        <v>0</v>
      </c>
      <c r="AP184" s="1040">
        <v>409756</v>
      </c>
    </row>
    <row r="185" spans="1:42" s="1059" customFormat="1" x14ac:dyDescent="0.3">
      <c r="A185" s="1056"/>
      <c r="B185" s="1056"/>
      <c r="C185" s="1056"/>
      <c r="D185" s="1056"/>
      <c r="E185" s="1056"/>
      <c r="F185" s="1056"/>
      <c r="G185" s="1056"/>
      <c r="H185" s="1057"/>
      <c r="I185" s="1056"/>
      <c r="J185" s="1056"/>
      <c r="K185" s="1056"/>
      <c r="L185" s="1056"/>
      <c r="M185" s="1057"/>
      <c r="N185" s="1057"/>
      <c r="O185" s="1057"/>
      <c r="P185" s="1057"/>
      <c r="Q185" s="1057"/>
      <c r="R185" s="1056"/>
      <c r="S185" s="1057"/>
      <c r="T185" s="1058"/>
      <c r="U185" s="1058"/>
      <c r="V185" s="1058"/>
      <c r="W185" s="1058"/>
      <c r="X185" s="1058"/>
      <c r="Y185" s="1058"/>
      <c r="Z185" s="1056"/>
      <c r="AA185" s="1056"/>
      <c r="AB185" s="1056"/>
      <c r="AC185" s="1056"/>
      <c r="AD185" s="1056"/>
      <c r="AE185" s="1057"/>
      <c r="AF185" s="1056"/>
      <c r="AG185" s="1056"/>
      <c r="AH185" s="1056"/>
      <c r="AI185" s="1056"/>
      <c r="AJ185" s="1056"/>
      <c r="AK185" s="1057"/>
      <c r="AL185" s="1056"/>
      <c r="AM185" s="1056"/>
      <c r="AN185" s="1056"/>
      <c r="AO185" s="1056"/>
      <c r="AP185" s="1056"/>
    </row>
    <row r="186" spans="1:42" s="1059" customFormat="1" x14ac:dyDescent="0.3">
      <c r="A186" s="1060"/>
      <c r="B186" s="1060"/>
      <c r="C186" s="1060"/>
      <c r="D186" s="1060"/>
      <c r="E186" s="1060"/>
      <c r="F186" s="1060"/>
      <c r="G186" s="1060"/>
      <c r="H186" s="1061"/>
      <c r="I186" s="1062" t="s">
        <v>997</v>
      </c>
      <c r="J186" s="1060"/>
      <c r="K186" s="1060"/>
      <c r="L186" s="1060"/>
      <c r="M186" s="1061"/>
      <c r="N186" s="1061"/>
      <c r="O186" s="1061"/>
      <c r="P186" s="1061"/>
      <c r="Q186" s="1061"/>
      <c r="R186" s="1060"/>
      <c r="S186" s="1061"/>
      <c r="T186" s="1063"/>
      <c r="U186" s="1063"/>
      <c r="V186" s="1063"/>
      <c r="W186" s="1063"/>
      <c r="X186" s="1063"/>
      <c r="Y186" s="1063"/>
      <c r="Z186" s="1060"/>
      <c r="AA186" s="1060"/>
      <c r="AB186" s="1060"/>
      <c r="AC186" s="1060"/>
      <c r="AD186" s="1060"/>
      <c r="AE186" s="1061"/>
      <c r="AF186" s="1060"/>
      <c r="AG186" s="1060"/>
      <c r="AH186" s="1060"/>
      <c r="AI186" s="1060"/>
      <c r="AJ186" s="1060"/>
      <c r="AK186" s="1061"/>
      <c r="AL186" s="1060"/>
      <c r="AM186" s="1060"/>
      <c r="AN186" s="1060"/>
      <c r="AO186" s="1060"/>
      <c r="AP186" s="1060"/>
    </row>
    <row r="187" spans="1:42" x14ac:dyDescent="0.3">
      <c r="A187" s="1040">
        <v>98</v>
      </c>
      <c r="B187" s="1040">
        <v>75531</v>
      </c>
      <c r="C187" s="1040" t="s">
        <v>558</v>
      </c>
      <c r="D187" s="1040" t="str">
        <f t="shared" si="9"/>
        <v>061901</v>
      </c>
      <c r="E187" s="1040" t="s">
        <v>559</v>
      </c>
      <c r="F187" s="1040" t="str">
        <f t="shared" ref="F187:F192" si="10">"030"</f>
        <v>030</v>
      </c>
      <c r="H187" s="1041" t="str">
        <f>"12A"</f>
        <v>12A</v>
      </c>
      <c r="I187" s="1040" t="s">
        <v>901</v>
      </c>
      <c r="J187" s="1040">
        <v>409545</v>
      </c>
      <c r="K187" s="1045">
        <v>41401</v>
      </c>
      <c r="L187" s="1040" t="s">
        <v>561</v>
      </c>
      <c r="M187" s="1041">
        <v>1968</v>
      </c>
      <c r="N187" s="1041" t="s">
        <v>562</v>
      </c>
      <c r="O187" s="1041" t="s">
        <v>562</v>
      </c>
      <c r="P187" s="1041" t="s">
        <v>562</v>
      </c>
      <c r="Q187" s="1041" t="s">
        <v>562</v>
      </c>
      <c r="R187" s="1040">
        <v>18</v>
      </c>
      <c r="S187" s="1041">
        <v>1</v>
      </c>
      <c r="T187" s="1042">
        <v>148972</v>
      </c>
      <c r="U187" s="1042">
        <v>21559548</v>
      </c>
      <c r="V187" s="1042">
        <v>2496795</v>
      </c>
      <c r="W187" s="1042"/>
      <c r="X187" s="1042">
        <v>145</v>
      </c>
      <c r="Y187" s="1042">
        <v>17</v>
      </c>
      <c r="Z187" s="1040" t="s">
        <v>563</v>
      </c>
      <c r="AA187" s="1040" t="s">
        <v>998</v>
      </c>
      <c r="AB187" s="1040" t="s">
        <v>999</v>
      </c>
      <c r="AC187" s="1040" t="s">
        <v>1000</v>
      </c>
      <c r="AD187" s="1040" t="s">
        <v>591</v>
      </c>
      <c r="AE187" s="1055"/>
      <c r="AF187" s="1040" t="s">
        <v>592</v>
      </c>
      <c r="AG187" s="1040">
        <v>0</v>
      </c>
      <c r="AH187" s="1040" t="s">
        <v>1001</v>
      </c>
      <c r="AI187" s="1040" t="s">
        <v>594</v>
      </c>
      <c r="AJ187" s="1040" t="s">
        <v>571</v>
      </c>
      <c r="AK187" s="1041">
        <v>76209</v>
      </c>
      <c r="AL187" s="1040" t="s">
        <v>1002</v>
      </c>
      <c r="AM187" s="1040" t="s">
        <v>1003</v>
      </c>
      <c r="AN187" s="1040" t="s">
        <v>1004</v>
      </c>
      <c r="AO187" s="1040">
        <v>20564000</v>
      </c>
      <c r="AP187" s="1040">
        <v>409545</v>
      </c>
    </row>
    <row r="188" spans="1:42" x14ac:dyDescent="0.3">
      <c r="A188" s="1040">
        <v>98</v>
      </c>
      <c r="B188" s="1040">
        <v>75531</v>
      </c>
      <c r="C188" s="1040" t="s">
        <v>558</v>
      </c>
      <c r="D188" s="1040" t="str">
        <f t="shared" si="9"/>
        <v>061901</v>
      </c>
      <c r="E188" s="1040" t="s">
        <v>559</v>
      </c>
      <c r="F188" s="1040" t="str">
        <f t="shared" si="10"/>
        <v>030</v>
      </c>
      <c r="G188" s="1040" t="s">
        <v>997</v>
      </c>
      <c r="H188" s="1041" t="str">
        <f>"12B"</f>
        <v>12B</v>
      </c>
      <c r="I188" s="1040" t="s">
        <v>1005</v>
      </c>
      <c r="J188" s="1040">
        <v>409650</v>
      </c>
      <c r="K188" s="1045">
        <v>41401</v>
      </c>
      <c r="L188" s="1040" t="s">
        <v>561</v>
      </c>
      <c r="M188" s="1041">
        <v>2000</v>
      </c>
      <c r="N188" s="1041" t="s">
        <v>576</v>
      </c>
      <c r="O188" s="1041" t="s">
        <v>576</v>
      </c>
      <c r="P188" s="1041" t="s">
        <v>576</v>
      </c>
      <c r="Q188" s="1041" t="s">
        <v>576</v>
      </c>
      <c r="R188" s="1040">
        <v>9</v>
      </c>
      <c r="S188" s="1041">
        <v>1</v>
      </c>
      <c r="T188" s="1042">
        <v>768</v>
      </c>
      <c r="U188" s="1042">
        <v>73388</v>
      </c>
      <c r="V188" s="1042">
        <v>11242</v>
      </c>
      <c r="W188" s="1042"/>
      <c r="X188" s="1042">
        <v>96</v>
      </c>
      <c r="Y188" s="1042">
        <v>15</v>
      </c>
      <c r="Z188" s="1040" t="s">
        <v>577</v>
      </c>
      <c r="AA188" s="1040" t="s">
        <v>578</v>
      </c>
      <c r="AB188" s="1040" t="s">
        <v>579</v>
      </c>
      <c r="AC188" s="1040" t="s">
        <v>580</v>
      </c>
      <c r="AD188" s="1040" t="s">
        <v>581</v>
      </c>
      <c r="AE188" s="1054"/>
      <c r="AF188" s="1040" t="s">
        <v>582</v>
      </c>
      <c r="AG188" s="1040">
        <v>0</v>
      </c>
      <c r="AH188" s="1040" t="s">
        <v>1001</v>
      </c>
      <c r="AI188" s="1040" t="s">
        <v>594</v>
      </c>
      <c r="AJ188" s="1040" t="s">
        <v>571</v>
      </c>
      <c r="AK188" s="1041">
        <v>76209</v>
      </c>
      <c r="AL188" s="1040" t="s">
        <v>1006</v>
      </c>
      <c r="AM188" s="1040" t="s">
        <v>1007</v>
      </c>
      <c r="AN188" s="1040" t="s">
        <v>585</v>
      </c>
      <c r="AO188" s="1040">
        <v>70000</v>
      </c>
      <c r="AP188" s="1040">
        <v>409650</v>
      </c>
    </row>
    <row r="189" spans="1:42" x14ac:dyDescent="0.3">
      <c r="A189" s="1040">
        <v>98</v>
      </c>
      <c r="B189" s="1040">
        <v>75531</v>
      </c>
      <c r="C189" s="1040" t="s">
        <v>558</v>
      </c>
      <c r="D189" s="1040" t="str">
        <f t="shared" si="9"/>
        <v>061901</v>
      </c>
      <c r="E189" s="1040" t="s">
        <v>559</v>
      </c>
      <c r="F189" s="1040" t="str">
        <f t="shared" si="10"/>
        <v>030</v>
      </c>
      <c r="G189" s="1040" t="s">
        <v>997</v>
      </c>
      <c r="H189" s="1041" t="str">
        <f>"12C"</f>
        <v>12C</v>
      </c>
      <c r="I189" s="1040" t="s">
        <v>1008</v>
      </c>
      <c r="J189" s="1040">
        <v>409651</v>
      </c>
      <c r="K189" s="1045">
        <v>41401</v>
      </c>
      <c r="L189" s="1040" t="s">
        <v>561</v>
      </c>
      <c r="M189" s="1041">
        <v>2000</v>
      </c>
      <c r="N189" s="1041" t="s">
        <v>576</v>
      </c>
      <c r="O189" s="1041" t="s">
        <v>576</v>
      </c>
      <c r="P189" s="1041" t="s">
        <v>576</v>
      </c>
      <c r="Q189" s="1041" t="s">
        <v>576</v>
      </c>
      <c r="R189" s="1040">
        <v>9</v>
      </c>
      <c r="S189" s="1041">
        <v>1</v>
      </c>
      <c r="T189" s="1042">
        <v>768</v>
      </c>
      <c r="U189" s="1042">
        <v>73388</v>
      </c>
      <c r="V189" s="1042">
        <v>11242</v>
      </c>
      <c r="W189" s="1042"/>
      <c r="X189" s="1042">
        <v>96</v>
      </c>
      <c r="Y189" s="1042">
        <v>15</v>
      </c>
      <c r="Z189" s="1040" t="s">
        <v>577</v>
      </c>
      <c r="AA189" s="1040" t="s">
        <v>578</v>
      </c>
      <c r="AB189" s="1040" t="s">
        <v>579</v>
      </c>
      <c r="AC189" s="1040" t="s">
        <v>580</v>
      </c>
      <c r="AD189" s="1040" t="s">
        <v>581</v>
      </c>
      <c r="AE189" s="1054"/>
      <c r="AF189" s="1040" t="s">
        <v>582</v>
      </c>
      <c r="AG189" s="1040">
        <v>0</v>
      </c>
      <c r="AH189" s="1040" t="s">
        <v>1001</v>
      </c>
      <c r="AI189" s="1040" t="s">
        <v>594</v>
      </c>
      <c r="AJ189" s="1040" t="s">
        <v>571</v>
      </c>
      <c r="AK189" s="1041">
        <v>76209</v>
      </c>
      <c r="AL189" s="1040" t="s">
        <v>1009</v>
      </c>
      <c r="AM189" s="1040" t="s">
        <v>1010</v>
      </c>
      <c r="AN189" s="1040" t="s">
        <v>585</v>
      </c>
      <c r="AO189" s="1040">
        <v>70000</v>
      </c>
      <c r="AP189" s="1040">
        <v>409651</v>
      </c>
    </row>
    <row r="190" spans="1:42" x14ac:dyDescent="0.3">
      <c r="A190" s="1040">
        <v>98</v>
      </c>
      <c r="B190" s="1040">
        <v>75531</v>
      </c>
      <c r="C190" s="1040" t="s">
        <v>558</v>
      </c>
      <c r="D190" s="1040" t="str">
        <f t="shared" si="9"/>
        <v>061901</v>
      </c>
      <c r="E190" s="1040" t="s">
        <v>559</v>
      </c>
      <c r="F190" s="1040" t="str">
        <f t="shared" si="10"/>
        <v>030</v>
      </c>
      <c r="G190" s="1040" t="s">
        <v>997</v>
      </c>
      <c r="H190" s="1041" t="str">
        <f>"12D"</f>
        <v>12D</v>
      </c>
      <c r="I190" s="1040" t="s">
        <v>1011</v>
      </c>
      <c r="J190" s="1040">
        <v>409652</v>
      </c>
      <c r="K190" s="1045">
        <v>41401</v>
      </c>
      <c r="L190" s="1040" t="s">
        <v>561</v>
      </c>
      <c r="M190" s="1041">
        <v>2000</v>
      </c>
      <c r="N190" s="1041" t="s">
        <v>576</v>
      </c>
      <c r="O190" s="1041" t="s">
        <v>576</v>
      </c>
      <c r="P190" s="1041" t="s">
        <v>576</v>
      </c>
      <c r="Q190" s="1041" t="s">
        <v>576</v>
      </c>
      <c r="R190" s="1040">
        <v>9</v>
      </c>
      <c r="S190" s="1041">
        <v>1</v>
      </c>
      <c r="T190" s="1042">
        <v>768</v>
      </c>
      <c r="U190" s="1042">
        <v>73388</v>
      </c>
      <c r="V190" s="1042">
        <v>11242</v>
      </c>
      <c r="W190" s="1042"/>
      <c r="X190" s="1042">
        <v>96</v>
      </c>
      <c r="Y190" s="1042">
        <v>15</v>
      </c>
      <c r="Z190" s="1040" t="s">
        <v>577</v>
      </c>
      <c r="AA190" s="1040" t="s">
        <v>578</v>
      </c>
      <c r="AB190" s="1040" t="s">
        <v>579</v>
      </c>
      <c r="AC190" s="1040" t="s">
        <v>580</v>
      </c>
      <c r="AD190" s="1040" t="s">
        <v>581</v>
      </c>
      <c r="AE190" s="1054"/>
      <c r="AF190" s="1040" t="s">
        <v>582</v>
      </c>
      <c r="AG190" s="1040">
        <v>0</v>
      </c>
      <c r="AH190" s="1040" t="s">
        <v>1001</v>
      </c>
      <c r="AI190" s="1040" t="s">
        <v>594</v>
      </c>
      <c r="AJ190" s="1040" t="s">
        <v>571</v>
      </c>
      <c r="AK190" s="1041">
        <v>76209</v>
      </c>
      <c r="AL190" s="1040" t="s">
        <v>1012</v>
      </c>
      <c r="AM190" s="1040" t="s">
        <v>1013</v>
      </c>
      <c r="AN190" s="1040" t="s">
        <v>585</v>
      </c>
      <c r="AO190" s="1040">
        <v>70000</v>
      </c>
      <c r="AP190" s="1040">
        <v>409652</v>
      </c>
    </row>
    <row r="191" spans="1:42" x14ac:dyDescent="0.3">
      <c r="A191" s="1040">
        <v>98</v>
      </c>
      <c r="B191" s="1040">
        <v>75531</v>
      </c>
      <c r="C191" s="1040" t="s">
        <v>558</v>
      </c>
      <c r="D191" s="1040" t="str">
        <f t="shared" si="9"/>
        <v>061901</v>
      </c>
      <c r="E191" s="1040" t="s">
        <v>559</v>
      </c>
      <c r="F191" s="1040" t="str">
        <f t="shared" si="10"/>
        <v>030</v>
      </c>
      <c r="G191" s="1040" t="s">
        <v>997</v>
      </c>
      <c r="H191" s="1041" t="str">
        <f>"12E"</f>
        <v>12E</v>
      </c>
      <c r="I191" s="1040" t="s">
        <v>783</v>
      </c>
      <c r="J191" s="1040">
        <v>409653</v>
      </c>
      <c r="K191" s="1045">
        <v>41401</v>
      </c>
      <c r="L191" s="1040" t="s">
        <v>561</v>
      </c>
      <c r="M191" s="1041">
        <v>2006</v>
      </c>
      <c r="N191" s="1041" t="s">
        <v>576</v>
      </c>
      <c r="O191" s="1041" t="s">
        <v>576</v>
      </c>
      <c r="P191" s="1041" t="s">
        <v>576</v>
      </c>
      <c r="Q191" s="1041" t="s">
        <v>576</v>
      </c>
      <c r="R191" s="1040">
        <v>8</v>
      </c>
      <c r="S191" s="1041">
        <v>1</v>
      </c>
      <c r="T191" s="1042">
        <v>150</v>
      </c>
      <c r="U191" s="1042">
        <v>7339</v>
      </c>
      <c r="V191" s="1042">
        <v>4088</v>
      </c>
      <c r="W191" s="1042"/>
      <c r="X191" s="1042">
        <v>49</v>
      </c>
      <c r="Y191" s="1042">
        <v>27</v>
      </c>
      <c r="Z191" s="1040" t="s">
        <v>577</v>
      </c>
      <c r="AA191" s="1040" t="s">
        <v>615</v>
      </c>
      <c r="AB191" s="1040" t="s">
        <v>606</v>
      </c>
      <c r="AC191" s="1040" t="s">
        <v>606</v>
      </c>
      <c r="AD191" s="1040" t="s">
        <v>581</v>
      </c>
      <c r="AE191" s="1054"/>
      <c r="AF191" s="1040" t="s">
        <v>582</v>
      </c>
      <c r="AG191" s="1040">
        <v>0</v>
      </c>
      <c r="AH191" s="1040" t="s">
        <v>1001</v>
      </c>
      <c r="AI191" s="1040" t="s">
        <v>594</v>
      </c>
      <c r="AJ191" s="1040" t="s">
        <v>571</v>
      </c>
      <c r="AK191" s="1041">
        <v>76209</v>
      </c>
      <c r="AL191" s="1040" t="s">
        <v>1014</v>
      </c>
      <c r="AM191" s="1040" t="s">
        <v>1015</v>
      </c>
      <c r="AN191" s="1040"/>
      <c r="AO191" s="1040">
        <v>7000</v>
      </c>
      <c r="AP191" s="1040">
        <v>409653</v>
      </c>
    </row>
    <row r="192" spans="1:42" x14ac:dyDescent="0.3">
      <c r="A192" s="1040">
        <v>98</v>
      </c>
      <c r="B192" s="1040">
        <v>75531</v>
      </c>
      <c r="C192" s="1040" t="s">
        <v>558</v>
      </c>
      <c r="D192" s="1040" t="str">
        <f t="shared" si="9"/>
        <v>061901</v>
      </c>
      <c r="E192" s="1040" t="s">
        <v>559</v>
      </c>
      <c r="F192" s="1040" t="str">
        <f t="shared" si="10"/>
        <v>030</v>
      </c>
      <c r="G192" s="1040" t="s">
        <v>997</v>
      </c>
      <c r="H192" s="1041" t="str">
        <f>"999"</f>
        <v>999</v>
      </c>
      <c r="I192" s="1040" t="s">
        <v>586</v>
      </c>
      <c r="J192" s="1040">
        <v>409768</v>
      </c>
      <c r="K192" s="1040"/>
      <c r="L192" s="1040" t="s">
        <v>561</v>
      </c>
      <c r="M192" s="1041"/>
      <c r="N192" s="1041" t="s">
        <v>576</v>
      </c>
      <c r="O192" s="1041" t="s">
        <v>576</v>
      </c>
      <c r="P192" s="1041" t="s">
        <v>576</v>
      </c>
      <c r="Q192" s="1041" t="s">
        <v>576</v>
      </c>
      <c r="R192" s="1040">
        <v>0</v>
      </c>
      <c r="S192" s="1041">
        <v>0</v>
      </c>
      <c r="T192" s="1042"/>
      <c r="U192" s="1042"/>
      <c r="V192" s="1042"/>
      <c r="W192" s="1042">
        <v>49275</v>
      </c>
      <c r="X192" s="1042"/>
      <c r="Y192" s="1042"/>
      <c r="Z192" s="1040"/>
      <c r="AA192" s="1040"/>
      <c r="AB192" s="1040"/>
      <c r="AC192" s="1040"/>
      <c r="AD192" s="1040"/>
      <c r="AE192" s="1041"/>
      <c r="AF192" s="1040"/>
      <c r="AG192" s="1040">
        <v>0</v>
      </c>
      <c r="AH192" s="1040" t="s">
        <v>1001</v>
      </c>
      <c r="AI192" s="1040" t="s">
        <v>594</v>
      </c>
      <c r="AJ192" s="1040" t="s">
        <v>571</v>
      </c>
      <c r="AK192" s="1041">
        <v>76209</v>
      </c>
      <c r="AL192" s="1040"/>
      <c r="AM192" s="1040"/>
      <c r="AN192" s="1040"/>
      <c r="AO192" s="1040">
        <v>0</v>
      </c>
      <c r="AP192" s="1040">
        <v>409768</v>
      </c>
    </row>
    <row r="193" spans="1:42" s="1059" customFormat="1" x14ac:dyDescent="0.3">
      <c r="A193" s="1056"/>
      <c r="B193" s="1056"/>
      <c r="C193" s="1056"/>
      <c r="D193" s="1056"/>
      <c r="E193" s="1056"/>
      <c r="F193" s="1056"/>
      <c r="G193" s="1056"/>
      <c r="H193" s="1057"/>
      <c r="I193" s="1056"/>
      <c r="J193" s="1056"/>
      <c r="K193" s="1056"/>
      <c r="L193" s="1056"/>
      <c r="M193" s="1057"/>
      <c r="N193" s="1057"/>
      <c r="O193" s="1057"/>
      <c r="P193" s="1057"/>
      <c r="Q193" s="1057"/>
      <c r="R193" s="1056"/>
      <c r="S193" s="1057"/>
      <c r="T193" s="1058"/>
      <c r="U193" s="1058"/>
      <c r="V193" s="1058"/>
      <c r="W193" s="1058"/>
      <c r="X193" s="1058"/>
      <c r="Y193" s="1058"/>
      <c r="Z193" s="1056"/>
      <c r="AA193" s="1056"/>
      <c r="AB193" s="1056"/>
      <c r="AC193" s="1056"/>
      <c r="AD193" s="1056"/>
      <c r="AE193" s="1057"/>
      <c r="AF193" s="1056"/>
      <c r="AG193" s="1056"/>
      <c r="AH193" s="1056"/>
      <c r="AI193" s="1056"/>
      <c r="AJ193" s="1056"/>
      <c r="AK193" s="1057"/>
      <c r="AL193" s="1056"/>
      <c r="AM193" s="1056"/>
      <c r="AN193" s="1056"/>
      <c r="AO193" s="1056"/>
      <c r="AP193" s="1056"/>
    </row>
    <row r="194" spans="1:42" s="1059" customFormat="1" x14ac:dyDescent="0.3">
      <c r="A194" s="1060"/>
      <c r="B194" s="1060"/>
      <c r="C194" s="1060"/>
      <c r="D194" s="1060"/>
      <c r="E194" s="1060"/>
      <c r="F194" s="1060"/>
      <c r="G194" s="1060"/>
      <c r="H194" s="1061"/>
      <c r="I194" s="1062" t="s">
        <v>1016</v>
      </c>
      <c r="J194" s="1060"/>
      <c r="K194" s="1060"/>
      <c r="L194" s="1060"/>
      <c r="M194" s="1061"/>
      <c r="N194" s="1061"/>
      <c r="O194" s="1061"/>
      <c r="P194" s="1061"/>
      <c r="Q194" s="1061"/>
      <c r="R194" s="1060"/>
      <c r="S194" s="1061"/>
      <c r="T194" s="1063"/>
      <c r="U194" s="1063"/>
      <c r="V194" s="1063"/>
      <c r="W194" s="1063"/>
      <c r="X194" s="1063"/>
      <c r="Y194" s="1063"/>
      <c r="Z194" s="1060"/>
      <c r="AA194" s="1060"/>
      <c r="AB194" s="1060"/>
      <c r="AC194" s="1060"/>
      <c r="AD194" s="1060"/>
      <c r="AE194" s="1061"/>
      <c r="AF194" s="1060"/>
      <c r="AG194" s="1060"/>
      <c r="AH194" s="1060"/>
      <c r="AI194" s="1060"/>
      <c r="AJ194" s="1060"/>
      <c r="AK194" s="1061"/>
      <c r="AL194" s="1060"/>
      <c r="AM194" s="1060"/>
      <c r="AN194" s="1060"/>
      <c r="AO194" s="1060"/>
      <c r="AP194" s="1060"/>
    </row>
    <row r="195" spans="1:42" x14ac:dyDescent="0.3">
      <c r="A195" s="1040">
        <v>98</v>
      </c>
      <c r="B195" s="1040">
        <v>75531</v>
      </c>
      <c r="C195" s="1040" t="s">
        <v>558</v>
      </c>
      <c r="D195" s="1040" t="str">
        <f t="shared" si="9"/>
        <v>061901</v>
      </c>
      <c r="E195" s="1040" t="s">
        <v>559</v>
      </c>
      <c r="F195" s="1040" t="str">
        <f t="shared" ref="F195:F204" si="11">"031"</f>
        <v>031</v>
      </c>
      <c r="H195" s="1041" t="str">
        <f>"2A"</f>
        <v>2A</v>
      </c>
      <c r="I195" s="1040" t="s">
        <v>560</v>
      </c>
      <c r="J195" s="1040">
        <v>409522</v>
      </c>
      <c r="K195" s="1045">
        <v>41401</v>
      </c>
      <c r="L195" s="1040" t="s">
        <v>561</v>
      </c>
      <c r="M195" s="1041">
        <v>1985</v>
      </c>
      <c r="N195" s="1041" t="s">
        <v>576</v>
      </c>
      <c r="O195" s="1041" t="s">
        <v>562</v>
      </c>
      <c r="P195" s="1041" t="s">
        <v>562</v>
      </c>
      <c r="Q195" s="1041" t="s">
        <v>562</v>
      </c>
      <c r="R195" s="1040">
        <v>14</v>
      </c>
      <c r="S195" s="1041">
        <v>1</v>
      </c>
      <c r="T195" s="1042">
        <v>94659</v>
      </c>
      <c r="U195" s="1042">
        <v>13424918</v>
      </c>
      <c r="V195" s="1042">
        <v>2298522</v>
      </c>
      <c r="W195" s="1042"/>
      <c r="X195" s="1042">
        <v>142</v>
      </c>
      <c r="Y195" s="1042">
        <v>24</v>
      </c>
      <c r="Z195" s="1040" t="s">
        <v>563</v>
      </c>
      <c r="AA195" s="1040" t="s">
        <v>693</v>
      </c>
      <c r="AB195" s="1040" t="s">
        <v>637</v>
      </c>
      <c r="AC195" s="1040" t="s">
        <v>638</v>
      </c>
      <c r="AD195" s="1040" t="s">
        <v>1017</v>
      </c>
      <c r="AE195" s="1055"/>
      <c r="AF195" s="1040" t="s">
        <v>582</v>
      </c>
      <c r="AG195" s="1040">
        <v>0</v>
      </c>
      <c r="AH195" s="1040" t="s">
        <v>1018</v>
      </c>
      <c r="AI195" s="1040" t="s">
        <v>594</v>
      </c>
      <c r="AJ195" s="1040" t="s">
        <v>571</v>
      </c>
      <c r="AK195" s="1041">
        <v>76207</v>
      </c>
      <c r="AL195" s="1040" t="s">
        <v>1019</v>
      </c>
      <c r="AM195" s="1040" t="s">
        <v>1020</v>
      </c>
      <c r="AN195" s="1040" t="s">
        <v>1021</v>
      </c>
      <c r="AO195" s="1040">
        <v>12805000</v>
      </c>
      <c r="AP195" s="1040">
        <v>409522</v>
      </c>
    </row>
    <row r="196" spans="1:42" x14ac:dyDescent="0.3">
      <c r="A196" s="1040">
        <v>98</v>
      </c>
      <c r="B196" s="1040">
        <v>75531</v>
      </c>
      <c r="C196" s="1040" t="s">
        <v>558</v>
      </c>
      <c r="D196" s="1040" t="str">
        <f t="shared" si="9"/>
        <v>061901</v>
      </c>
      <c r="E196" s="1040" t="s">
        <v>559</v>
      </c>
      <c r="F196" s="1040" t="str">
        <f t="shared" si="11"/>
        <v>031</v>
      </c>
      <c r="G196" s="1040" t="s">
        <v>1016</v>
      </c>
      <c r="H196" s="1041" t="str">
        <f>"2B"</f>
        <v>2B</v>
      </c>
      <c r="I196" s="1040" t="s">
        <v>1022</v>
      </c>
      <c r="J196" s="1040">
        <v>409654</v>
      </c>
      <c r="K196" s="1045">
        <v>41401</v>
      </c>
      <c r="L196" s="1040" t="s">
        <v>561</v>
      </c>
      <c r="M196" s="1041">
        <v>2000</v>
      </c>
      <c r="N196" s="1041" t="s">
        <v>576</v>
      </c>
      <c r="O196" s="1041" t="s">
        <v>576</v>
      </c>
      <c r="P196" s="1041" t="s">
        <v>576</v>
      </c>
      <c r="Q196" s="1041" t="s">
        <v>576</v>
      </c>
      <c r="R196" s="1040">
        <v>9</v>
      </c>
      <c r="S196" s="1041">
        <v>1</v>
      </c>
      <c r="T196" s="1042">
        <v>768</v>
      </c>
      <c r="U196" s="1042">
        <v>73388</v>
      </c>
      <c r="V196" s="1042">
        <v>11242</v>
      </c>
      <c r="W196" s="1042"/>
      <c r="X196" s="1042">
        <v>96</v>
      </c>
      <c r="Y196" s="1042">
        <v>15</v>
      </c>
      <c r="Z196" s="1040" t="s">
        <v>577</v>
      </c>
      <c r="AA196" s="1040" t="s">
        <v>578</v>
      </c>
      <c r="AB196" s="1040" t="s">
        <v>579</v>
      </c>
      <c r="AC196" s="1040" t="s">
        <v>580</v>
      </c>
      <c r="AD196" s="1040" t="s">
        <v>581</v>
      </c>
      <c r="AE196" s="1054"/>
      <c r="AF196" s="1040" t="s">
        <v>582</v>
      </c>
      <c r="AG196" s="1040">
        <v>0</v>
      </c>
      <c r="AH196" s="1040" t="s">
        <v>1018</v>
      </c>
      <c r="AI196" s="1040" t="s">
        <v>594</v>
      </c>
      <c r="AJ196" s="1040" t="s">
        <v>571</v>
      </c>
      <c r="AK196" s="1041">
        <v>76207</v>
      </c>
      <c r="AL196" s="1040" t="s">
        <v>1023</v>
      </c>
      <c r="AM196" s="1040" t="s">
        <v>1024</v>
      </c>
      <c r="AN196" s="1040" t="s">
        <v>585</v>
      </c>
      <c r="AO196" s="1040">
        <v>70000</v>
      </c>
      <c r="AP196" s="1040">
        <v>409654</v>
      </c>
    </row>
    <row r="197" spans="1:42" x14ac:dyDescent="0.3">
      <c r="A197" s="1040">
        <v>98</v>
      </c>
      <c r="B197" s="1040">
        <v>75531</v>
      </c>
      <c r="C197" s="1040" t="s">
        <v>558</v>
      </c>
      <c r="D197" s="1040" t="str">
        <f t="shared" si="9"/>
        <v>061901</v>
      </c>
      <c r="E197" s="1040" t="s">
        <v>559</v>
      </c>
      <c r="F197" s="1040" t="str">
        <f t="shared" si="11"/>
        <v>031</v>
      </c>
      <c r="G197" s="1040" t="s">
        <v>1016</v>
      </c>
      <c r="H197" s="1041" t="str">
        <f>"2C"</f>
        <v>2C</v>
      </c>
      <c r="I197" s="1040" t="s">
        <v>1025</v>
      </c>
      <c r="J197" s="1040">
        <v>409655</v>
      </c>
      <c r="K197" s="1045">
        <v>41401</v>
      </c>
      <c r="L197" s="1040" t="s">
        <v>561</v>
      </c>
      <c r="M197" s="1041">
        <v>2000</v>
      </c>
      <c r="N197" s="1041" t="s">
        <v>576</v>
      </c>
      <c r="O197" s="1041" t="s">
        <v>576</v>
      </c>
      <c r="P197" s="1041" t="s">
        <v>576</v>
      </c>
      <c r="Q197" s="1041" t="s">
        <v>576</v>
      </c>
      <c r="R197" s="1040">
        <v>9</v>
      </c>
      <c r="S197" s="1041">
        <v>1</v>
      </c>
      <c r="T197" s="1042">
        <v>768</v>
      </c>
      <c r="U197" s="1042">
        <v>73388</v>
      </c>
      <c r="V197" s="1042">
        <v>11242</v>
      </c>
      <c r="W197" s="1042"/>
      <c r="X197" s="1042">
        <v>96</v>
      </c>
      <c r="Y197" s="1042">
        <v>15</v>
      </c>
      <c r="Z197" s="1040" t="s">
        <v>577</v>
      </c>
      <c r="AA197" s="1040" t="s">
        <v>578</v>
      </c>
      <c r="AB197" s="1040" t="s">
        <v>579</v>
      </c>
      <c r="AC197" s="1040" t="s">
        <v>580</v>
      </c>
      <c r="AD197" s="1040" t="s">
        <v>581</v>
      </c>
      <c r="AE197" s="1054"/>
      <c r="AF197" s="1040" t="s">
        <v>582</v>
      </c>
      <c r="AG197" s="1040">
        <v>0</v>
      </c>
      <c r="AH197" s="1040" t="s">
        <v>1018</v>
      </c>
      <c r="AI197" s="1040" t="s">
        <v>594</v>
      </c>
      <c r="AJ197" s="1040" t="s">
        <v>571</v>
      </c>
      <c r="AK197" s="1041">
        <v>76207</v>
      </c>
      <c r="AL197" s="1040" t="s">
        <v>1026</v>
      </c>
      <c r="AM197" s="1040" t="s">
        <v>1027</v>
      </c>
      <c r="AN197" s="1040" t="s">
        <v>585</v>
      </c>
      <c r="AO197" s="1040">
        <v>70000</v>
      </c>
      <c r="AP197" s="1040">
        <v>409655</v>
      </c>
    </row>
    <row r="198" spans="1:42" x14ac:dyDescent="0.3">
      <c r="A198" s="1040">
        <v>98</v>
      </c>
      <c r="B198" s="1040">
        <v>75531</v>
      </c>
      <c r="C198" s="1040" t="s">
        <v>558</v>
      </c>
      <c r="D198" s="1040" t="str">
        <f t="shared" si="9"/>
        <v>061901</v>
      </c>
      <c r="E198" s="1040" t="s">
        <v>559</v>
      </c>
      <c r="F198" s="1040" t="str">
        <f t="shared" si="11"/>
        <v>031</v>
      </c>
      <c r="G198" s="1040" t="s">
        <v>1016</v>
      </c>
      <c r="H198" s="1041" t="str">
        <f>"2D"</f>
        <v>2D</v>
      </c>
      <c r="I198" s="1040" t="s">
        <v>1028</v>
      </c>
      <c r="J198" s="1040">
        <v>409656</v>
      </c>
      <c r="K198" s="1045">
        <v>41401</v>
      </c>
      <c r="L198" s="1040" t="s">
        <v>561</v>
      </c>
      <c r="M198" s="1041">
        <v>2000</v>
      </c>
      <c r="N198" s="1041" t="s">
        <v>576</v>
      </c>
      <c r="O198" s="1041" t="s">
        <v>576</v>
      </c>
      <c r="P198" s="1041" t="s">
        <v>576</v>
      </c>
      <c r="Q198" s="1041" t="s">
        <v>576</v>
      </c>
      <c r="R198" s="1040">
        <v>9</v>
      </c>
      <c r="S198" s="1041">
        <v>1</v>
      </c>
      <c r="T198" s="1042">
        <v>768</v>
      </c>
      <c r="U198" s="1042">
        <v>73388</v>
      </c>
      <c r="V198" s="1042">
        <v>11242</v>
      </c>
      <c r="W198" s="1042"/>
      <c r="X198" s="1042">
        <v>96</v>
      </c>
      <c r="Y198" s="1042">
        <v>15</v>
      </c>
      <c r="Z198" s="1040" t="s">
        <v>577</v>
      </c>
      <c r="AA198" s="1040" t="s">
        <v>578</v>
      </c>
      <c r="AB198" s="1040" t="s">
        <v>579</v>
      </c>
      <c r="AC198" s="1040" t="s">
        <v>580</v>
      </c>
      <c r="AD198" s="1040" t="s">
        <v>581</v>
      </c>
      <c r="AE198" s="1054"/>
      <c r="AF198" s="1040" t="s">
        <v>582</v>
      </c>
      <c r="AG198" s="1040">
        <v>0</v>
      </c>
      <c r="AH198" s="1040" t="s">
        <v>1018</v>
      </c>
      <c r="AI198" s="1040" t="s">
        <v>594</v>
      </c>
      <c r="AJ198" s="1040" t="s">
        <v>571</v>
      </c>
      <c r="AK198" s="1041">
        <v>76207</v>
      </c>
      <c r="AL198" s="1040" t="s">
        <v>1029</v>
      </c>
      <c r="AM198" s="1040" t="s">
        <v>1030</v>
      </c>
      <c r="AN198" s="1040" t="s">
        <v>585</v>
      </c>
      <c r="AO198" s="1040">
        <v>70000</v>
      </c>
      <c r="AP198" s="1040">
        <v>409656</v>
      </c>
    </row>
    <row r="199" spans="1:42" x14ac:dyDescent="0.3">
      <c r="A199" s="1040">
        <v>98</v>
      </c>
      <c r="B199" s="1040">
        <v>75531</v>
      </c>
      <c r="C199" s="1040" t="s">
        <v>558</v>
      </c>
      <c r="D199" s="1040" t="str">
        <f t="shared" si="9"/>
        <v>061901</v>
      </c>
      <c r="E199" s="1040" t="s">
        <v>559</v>
      </c>
      <c r="F199" s="1040" t="str">
        <f t="shared" si="11"/>
        <v>031</v>
      </c>
      <c r="G199" s="1040" t="s">
        <v>1016</v>
      </c>
      <c r="H199" s="1041" t="str">
        <f>"2E"</f>
        <v>2E</v>
      </c>
      <c r="I199" s="1040" t="s">
        <v>1031</v>
      </c>
      <c r="J199" s="1040">
        <v>409657</v>
      </c>
      <c r="K199" s="1045">
        <v>41401</v>
      </c>
      <c r="L199" s="1040" t="s">
        <v>561</v>
      </c>
      <c r="M199" s="1041">
        <v>2000</v>
      </c>
      <c r="N199" s="1041" t="s">
        <v>576</v>
      </c>
      <c r="O199" s="1041" t="s">
        <v>576</v>
      </c>
      <c r="P199" s="1041" t="s">
        <v>576</v>
      </c>
      <c r="Q199" s="1041" t="s">
        <v>576</v>
      </c>
      <c r="R199" s="1040">
        <v>9</v>
      </c>
      <c r="S199" s="1041">
        <v>1</v>
      </c>
      <c r="T199" s="1042">
        <v>768</v>
      </c>
      <c r="U199" s="1042">
        <v>73388</v>
      </c>
      <c r="V199" s="1042">
        <v>11242</v>
      </c>
      <c r="W199" s="1042"/>
      <c r="X199" s="1042">
        <v>96</v>
      </c>
      <c r="Y199" s="1042">
        <v>15</v>
      </c>
      <c r="Z199" s="1040" t="s">
        <v>577</v>
      </c>
      <c r="AA199" s="1040" t="s">
        <v>578</v>
      </c>
      <c r="AB199" s="1040" t="s">
        <v>579</v>
      </c>
      <c r="AC199" s="1040" t="s">
        <v>580</v>
      </c>
      <c r="AD199" s="1040" t="s">
        <v>581</v>
      </c>
      <c r="AE199" s="1054"/>
      <c r="AF199" s="1040" t="s">
        <v>582</v>
      </c>
      <c r="AG199" s="1040">
        <v>0</v>
      </c>
      <c r="AH199" s="1040" t="s">
        <v>1018</v>
      </c>
      <c r="AI199" s="1040" t="s">
        <v>594</v>
      </c>
      <c r="AJ199" s="1040" t="s">
        <v>571</v>
      </c>
      <c r="AK199" s="1041">
        <v>76207</v>
      </c>
      <c r="AL199" s="1040" t="s">
        <v>1032</v>
      </c>
      <c r="AM199" s="1040" t="s">
        <v>1033</v>
      </c>
      <c r="AN199" s="1040" t="s">
        <v>585</v>
      </c>
      <c r="AO199" s="1040">
        <v>70000</v>
      </c>
      <c r="AP199" s="1040">
        <v>409657</v>
      </c>
    </row>
    <row r="200" spans="1:42" x14ac:dyDescent="0.3">
      <c r="A200" s="1040">
        <v>98</v>
      </c>
      <c r="B200" s="1040">
        <v>75531</v>
      </c>
      <c r="C200" s="1040" t="s">
        <v>558</v>
      </c>
      <c r="D200" s="1040" t="str">
        <f t="shared" si="9"/>
        <v>061901</v>
      </c>
      <c r="E200" s="1040" t="s">
        <v>559</v>
      </c>
      <c r="F200" s="1040" t="str">
        <f t="shared" si="11"/>
        <v>031</v>
      </c>
      <c r="G200" s="1040" t="s">
        <v>1016</v>
      </c>
      <c r="H200" s="1041" t="str">
        <f>"2F"</f>
        <v>2F</v>
      </c>
      <c r="I200" s="1040" t="s">
        <v>1034</v>
      </c>
      <c r="J200" s="1040">
        <v>409658</v>
      </c>
      <c r="K200" s="1045">
        <v>41401</v>
      </c>
      <c r="L200" s="1040" t="s">
        <v>561</v>
      </c>
      <c r="M200" s="1041">
        <v>2000</v>
      </c>
      <c r="N200" s="1041" t="s">
        <v>576</v>
      </c>
      <c r="O200" s="1041" t="s">
        <v>576</v>
      </c>
      <c r="P200" s="1041" t="s">
        <v>576</v>
      </c>
      <c r="Q200" s="1041" t="s">
        <v>576</v>
      </c>
      <c r="R200" s="1040">
        <v>9</v>
      </c>
      <c r="S200" s="1041">
        <v>1</v>
      </c>
      <c r="T200" s="1042">
        <v>768</v>
      </c>
      <c r="U200" s="1042">
        <v>73388</v>
      </c>
      <c r="V200" s="1042">
        <v>11242</v>
      </c>
      <c r="W200" s="1042"/>
      <c r="X200" s="1042">
        <v>96</v>
      </c>
      <c r="Y200" s="1042">
        <v>15</v>
      </c>
      <c r="Z200" s="1040" t="s">
        <v>577</v>
      </c>
      <c r="AA200" s="1040" t="s">
        <v>578</v>
      </c>
      <c r="AB200" s="1040" t="s">
        <v>579</v>
      </c>
      <c r="AC200" s="1040" t="s">
        <v>580</v>
      </c>
      <c r="AD200" s="1040" t="s">
        <v>581</v>
      </c>
      <c r="AE200" s="1054"/>
      <c r="AF200" s="1040" t="s">
        <v>582</v>
      </c>
      <c r="AG200" s="1040">
        <v>0</v>
      </c>
      <c r="AH200" s="1040" t="s">
        <v>1018</v>
      </c>
      <c r="AI200" s="1040" t="s">
        <v>594</v>
      </c>
      <c r="AJ200" s="1040" t="s">
        <v>571</v>
      </c>
      <c r="AK200" s="1041">
        <v>76207</v>
      </c>
      <c r="AL200" s="1040" t="s">
        <v>1032</v>
      </c>
      <c r="AM200" s="1040" t="s">
        <v>1035</v>
      </c>
      <c r="AN200" s="1040" t="s">
        <v>585</v>
      </c>
      <c r="AO200" s="1040">
        <v>70000</v>
      </c>
      <c r="AP200" s="1040">
        <v>409658</v>
      </c>
    </row>
    <row r="201" spans="1:42" x14ac:dyDescent="0.3">
      <c r="A201" s="1040">
        <v>98</v>
      </c>
      <c r="B201" s="1040">
        <v>75531</v>
      </c>
      <c r="C201" s="1040" t="s">
        <v>558</v>
      </c>
      <c r="D201" s="1040" t="str">
        <f t="shared" si="9"/>
        <v>061901</v>
      </c>
      <c r="E201" s="1040" t="s">
        <v>559</v>
      </c>
      <c r="F201" s="1040" t="str">
        <f t="shared" si="11"/>
        <v>031</v>
      </c>
      <c r="G201" s="1040" t="s">
        <v>1016</v>
      </c>
      <c r="H201" s="1041" t="str">
        <f>"2G"</f>
        <v>2G</v>
      </c>
      <c r="I201" s="1040" t="s">
        <v>1036</v>
      </c>
      <c r="J201" s="1040">
        <v>409659</v>
      </c>
      <c r="K201" s="1045">
        <v>41401</v>
      </c>
      <c r="L201" s="1040" t="s">
        <v>561</v>
      </c>
      <c r="M201" s="1041">
        <v>2000</v>
      </c>
      <c r="N201" s="1041" t="s">
        <v>576</v>
      </c>
      <c r="O201" s="1041" t="s">
        <v>576</v>
      </c>
      <c r="P201" s="1041" t="s">
        <v>576</v>
      </c>
      <c r="Q201" s="1041" t="s">
        <v>576</v>
      </c>
      <c r="R201" s="1040">
        <v>9</v>
      </c>
      <c r="S201" s="1041">
        <v>1</v>
      </c>
      <c r="T201" s="1042">
        <v>768</v>
      </c>
      <c r="U201" s="1042">
        <v>73388</v>
      </c>
      <c r="V201" s="1042">
        <v>11242</v>
      </c>
      <c r="W201" s="1042"/>
      <c r="X201" s="1042">
        <v>96</v>
      </c>
      <c r="Y201" s="1042">
        <v>15</v>
      </c>
      <c r="Z201" s="1040" t="s">
        <v>577</v>
      </c>
      <c r="AA201" s="1040" t="s">
        <v>578</v>
      </c>
      <c r="AB201" s="1040" t="s">
        <v>579</v>
      </c>
      <c r="AC201" s="1040" t="s">
        <v>580</v>
      </c>
      <c r="AD201" s="1040" t="s">
        <v>581</v>
      </c>
      <c r="AE201" s="1054"/>
      <c r="AF201" s="1040" t="s">
        <v>582</v>
      </c>
      <c r="AG201" s="1040">
        <v>0</v>
      </c>
      <c r="AH201" s="1040" t="s">
        <v>1018</v>
      </c>
      <c r="AI201" s="1040" t="s">
        <v>594</v>
      </c>
      <c r="AJ201" s="1040" t="s">
        <v>571</v>
      </c>
      <c r="AK201" s="1041">
        <v>76207</v>
      </c>
      <c r="AL201" s="1040" t="s">
        <v>1029</v>
      </c>
      <c r="AM201" s="1040" t="s">
        <v>1037</v>
      </c>
      <c r="AN201" s="1040" t="s">
        <v>585</v>
      </c>
      <c r="AO201" s="1040">
        <v>70000</v>
      </c>
      <c r="AP201" s="1040">
        <v>409659</v>
      </c>
    </row>
    <row r="202" spans="1:42" x14ac:dyDescent="0.3">
      <c r="A202" s="1040">
        <v>98</v>
      </c>
      <c r="B202" s="1040">
        <v>75531</v>
      </c>
      <c r="C202" s="1040" t="s">
        <v>558</v>
      </c>
      <c r="D202" s="1040" t="str">
        <f t="shared" si="9"/>
        <v>061901</v>
      </c>
      <c r="E202" s="1040" t="s">
        <v>559</v>
      </c>
      <c r="F202" s="1040" t="str">
        <f t="shared" si="11"/>
        <v>031</v>
      </c>
      <c r="G202" s="1040" t="s">
        <v>1016</v>
      </c>
      <c r="H202" s="1041" t="str">
        <f>"2H"</f>
        <v>2H</v>
      </c>
      <c r="I202" s="1040" t="s">
        <v>1038</v>
      </c>
      <c r="J202" s="1040">
        <v>409660</v>
      </c>
      <c r="K202" s="1045">
        <v>41401</v>
      </c>
      <c r="L202" s="1040" t="s">
        <v>561</v>
      </c>
      <c r="M202" s="1041">
        <v>2000</v>
      </c>
      <c r="N202" s="1041" t="s">
        <v>576</v>
      </c>
      <c r="O202" s="1041" t="s">
        <v>576</v>
      </c>
      <c r="P202" s="1041" t="s">
        <v>576</v>
      </c>
      <c r="Q202" s="1041" t="s">
        <v>576</v>
      </c>
      <c r="R202" s="1040">
        <v>9</v>
      </c>
      <c r="S202" s="1041">
        <v>1</v>
      </c>
      <c r="T202" s="1042">
        <v>768</v>
      </c>
      <c r="U202" s="1042">
        <v>73388</v>
      </c>
      <c r="V202" s="1042">
        <v>11242</v>
      </c>
      <c r="W202" s="1042"/>
      <c r="X202" s="1042">
        <v>96</v>
      </c>
      <c r="Y202" s="1042">
        <v>15</v>
      </c>
      <c r="Z202" s="1040" t="s">
        <v>577</v>
      </c>
      <c r="AA202" s="1040" t="s">
        <v>578</v>
      </c>
      <c r="AB202" s="1040" t="s">
        <v>579</v>
      </c>
      <c r="AC202" s="1040" t="s">
        <v>580</v>
      </c>
      <c r="AD202" s="1040" t="s">
        <v>581</v>
      </c>
      <c r="AE202" s="1054"/>
      <c r="AF202" s="1040" t="s">
        <v>582</v>
      </c>
      <c r="AG202" s="1040">
        <v>0</v>
      </c>
      <c r="AH202" s="1040" t="s">
        <v>1018</v>
      </c>
      <c r="AI202" s="1040" t="s">
        <v>594</v>
      </c>
      <c r="AJ202" s="1040" t="s">
        <v>571</v>
      </c>
      <c r="AK202" s="1041">
        <v>76207</v>
      </c>
      <c r="AL202" s="1040" t="s">
        <v>1039</v>
      </c>
      <c r="AM202" s="1040" t="s">
        <v>1040</v>
      </c>
      <c r="AN202" s="1040" t="s">
        <v>585</v>
      </c>
      <c r="AO202" s="1040">
        <v>70000</v>
      </c>
      <c r="AP202" s="1040">
        <v>409660</v>
      </c>
    </row>
    <row r="203" spans="1:42" x14ac:dyDescent="0.3">
      <c r="A203" s="1040">
        <v>98</v>
      </c>
      <c r="B203" s="1040">
        <v>75531</v>
      </c>
      <c r="C203" s="1040" t="s">
        <v>558</v>
      </c>
      <c r="D203" s="1040" t="str">
        <f t="shared" si="9"/>
        <v>061901</v>
      </c>
      <c r="E203" s="1040" t="s">
        <v>559</v>
      </c>
      <c r="F203" s="1040" t="str">
        <f t="shared" si="11"/>
        <v>031</v>
      </c>
      <c r="G203" s="1040" t="s">
        <v>1016</v>
      </c>
      <c r="H203" s="1041" t="str">
        <f>"2I"</f>
        <v>2I</v>
      </c>
      <c r="I203" s="1040" t="s">
        <v>1041</v>
      </c>
      <c r="J203" s="1040">
        <v>409661</v>
      </c>
      <c r="K203" s="1045">
        <v>41401</v>
      </c>
      <c r="L203" s="1040" t="s">
        <v>561</v>
      </c>
      <c r="M203" s="1041">
        <v>2000</v>
      </c>
      <c r="N203" s="1041" t="s">
        <v>576</v>
      </c>
      <c r="O203" s="1041" t="s">
        <v>576</v>
      </c>
      <c r="P203" s="1041" t="s">
        <v>576</v>
      </c>
      <c r="Q203" s="1041" t="s">
        <v>576</v>
      </c>
      <c r="R203" s="1040">
        <v>9</v>
      </c>
      <c r="S203" s="1041">
        <v>1</v>
      </c>
      <c r="T203" s="1042">
        <v>768</v>
      </c>
      <c r="U203" s="1042">
        <v>73388</v>
      </c>
      <c r="V203" s="1042">
        <v>11242</v>
      </c>
      <c r="W203" s="1042"/>
      <c r="X203" s="1042">
        <v>96</v>
      </c>
      <c r="Y203" s="1042">
        <v>15</v>
      </c>
      <c r="Z203" s="1040" t="s">
        <v>577</v>
      </c>
      <c r="AA203" s="1040" t="s">
        <v>578</v>
      </c>
      <c r="AB203" s="1040" t="s">
        <v>579</v>
      </c>
      <c r="AC203" s="1040" t="s">
        <v>580</v>
      </c>
      <c r="AD203" s="1040" t="s">
        <v>581</v>
      </c>
      <c r="AE203" s="1054"/>
      <c r="AF203" s="1040" t="s">
        <v>582</v>
      </c>
      <c r="AG203" s="1040">
        <v>0</v>
      </c>
      <c r="AH203" s="1040" t="s">
        <v>1018</v>
      </c>
      <c r="AI203" s="1040" t="s">
        <v>594</v>
      </c>
      <c r="AJ203" s="1040" t="s">
        <v>571</v>
      </c>
      <c r="AK203" s="1041">
        <v>76207</v>
      </c>
      <c r="AL203" s="1040" t="s">
        <v>1042</v>
      </c>
      <c r="AM203" s="1040" t="s">
        <v>1037</v>
      </c>
      <c r="AN203" s="1040" t="s">
        <v>585</v>
      </c>
      <c r="AO203" s="1040">
        <v>70000</v>
      </c>
      <c r="AP203" s="1040">
        <v>409661</v>
      </c>
    </row>
    <row r="204" spans="1:42" x14ac:dyDescent="0.3">
      <c r="A204" s="1040">
        <v>98</v>
      </c>
      <c r="B204" s="1040">
        <v>75531</v>
      </c>
      <c r="C204" s="1040" t="s">
        <v>558</v>
      </c>
      <c r="D204" s="1040" t="str">
        <f t="shared" si="9"/>
        <v>061901</v>
      </c>
      <c r="E204" s="1040" t="s">
        <v>559</v>
      </c>
      <c r="F204" s="1040" t="str">
        <f t="shared" si="11"/>
        <v>031</v>
      </c>
      <c r="G204" s="1040" t="s">
        <v>1016</v>
      </c>
      <c r="H204" s="1041" t="str">
        <f>"999"</f>
        <v>999</v>
      </c>
      <c r="I204" s="1040" t="s">
        <v>586</v>
      </c>
      <c r="J204" s="1040">
        <v>409751</v>
      </c>
      <c r="K204" s="1040"/>
      <c r="L204" s="1040" t="s">
        <v>561</v>
      </c>
      <c r="M204" s="1041"/>
      <c r="N204" s="1041" t="s">
        <v>576</v>
      </c>
      <c r="O204" s="1041" t="s">
        <v>576</v>
      </c>
      <c r="P204" s="1041" t="s">
        <v>576</v>
      </c>
      <c r="Q204" s="1041" t="s">
        <v>576</v>
      </c>
      <c r="R204" s="1040">
        <v>0</v>
      </c>
      <c r="S204" s="1041">
        <v>0</v>
      </c>
      <c r="T204" s="1042"/>
      <c r="U204" s="1042"/>
      <c r="V204" s="1042"/>
      <c r="W204" s="1042">
        <v>190812</v>
      </c>
      <c r="X204" s="1042"/>
      <c r="Y204" s="1042"/>
      <c r="Z204" s="1040"/>
      <c r="AA204" s="1040"/>
      <c r="AB204" s="1040"/>
      <c r="AC204" s="1040"/>
      <c r="AD204" s="1040"/>
      <c r="AE204" s="1041"/>
      <c r="AF204" s="1040"/>
      <c r="AG204" s="1040">
        <v>0</v>
      </c>
      <c r="AH204" s="1040" t="s">
        <v>1018</v>
      </c>
      <c r="AI204" s="1040" t="s">
        <v>594</v>
      </c>
      <c r="AJ204" s="1040" t="s">
        <v>571</v>
      </c>
      <c r="AK204" s="1041">
        <v>76207</v>
      </c>
      <c r="AL204" s="1040"/>
      <c r="AM204" s="1040"/>
      <c r="AN204" s="1040"/>
      <c r="AO204" s="1040">
        <v>0</v>
      </c>
      <c r="AP204" s="1040">
        <v>409751</v>
      </c>
    </row>
    <row r="205" spans="1:42" s="1059" customFormat="1" x14ac:dyDescent="0.3">
      <c r="A205" s="1056"/>
      <c r="B205" s="1056"/>
      <c r="C205" s="1056"/>
      <c r="D205" s="1056"/>
      <c r="E205" s="1056"/>
      <c r="F205" s="1056"/>
      <c r="G205" s="1056"/>
      <c r="H205" s="1057"/>
      <c r="I205" s="1056"/>
      <c r="J205" s="1056"/>
      <c r="K205" s="1056"/>
      <c r="L205" s="1056"/>
      <c r="M205" s="1057"/>
      <c r="N205" s="1057"/>
      <c r="O205" s="1057"/>
      <c r="P205" s="1057"/>
      <c r="Q205" s="1057"/>
      <c r="R205" s="1056"/>
      <c r="S205" s="1057"/>
      <c r="T205" s="1058"/>
      <c r="U205" s="1058"/>
      <c r="V205" s="1058"/>
      <c r="W205" s="1058"/>
      <c r="X205" s="1058"/>
      <c r="Y205" s="1058"/>
      <c r="Z205" s="1056"/>
      <c r="AA205" s="1056"/>
      <c r="AB205" s="1056"/>
      <c r="AC205" s="1056"/>
      <c r="AD205" s="1056"/>
      <c r="AE205" s="1057"/>
      <c r="AF205" s="1056"/>
      <c r="AG205" s="1056"/>
      <c r="AH205" s="1056"/>
      <c r="AI205" s="1056"/>
      <c r="AJ205" s="1056"/>
      <c r="AK205" s="1057"/>
      <c r="AL205" s="1056"/>
      <c r="AM205" s="1056"/>
      <c r="AN205" s="1056"/>
      <c r="AO205" s="1056"/>
      <c r="AP205" s="1056"/>
    </row>
    <row r="206" spans="1:42" s="1059" customFormat="1" x14ac:dyDescent="0.3">
      <c r="A206" s="1060"/>
      <c r="B206" s="1060"/>
      <c r="C206" s="1060"/>
      <c r="D206" s="1060"/>
      <c r="E206" s="1060"/>
      <c r="F206" s="1060"/>
      <c r="G206" s="1060"/>
      <c r="H206" s="1061"/>
      <c r="I206" s="1062" t="s">
        <v>1043</v>
      </c>
      <c r="J206" s="1060"/>
      <c r="K206" s="1060"/>
      <c r="L206" s="1060"/>
      <c r="M206" s="1061"/>
      <c r="N206" s="1061"/>
      <c r="O206" s="1061"/>
      <c r="P206" s="1061"/>
      <c r="Q206" s="1061"/>
      <c r="R206" s="1060"/>
      <c r="S206" s="1061"/>
      <c r="T206" s="1063"/>
      <c r="U206" s="1063"/>
      <c r="V206" s="1063"/>
      <c r="W206" s="1063"/>
      <c r="X206" s="1063"/>
      <c r="Y206" s="1063"/>
      <c r="Z206" s="1060"/>
      <c r="AA206" s="1060"/>
      <c r="AB206" s="1060"/>
      <c r="AC206" s="1060"/>
      <c r="AD206" s="1060"/>
      <c r="AE206" s="1061"/>
      <c r="AF206" s="1060"/>
      <c r="AG206" s="1060"/>
      <c r="AH206" s="1060"/>
      <c r="AI206" s="1060"/>
      <c r="AJ206" s="1060"/>
      <c r="AK206" s="1061"/>
      <c r="AL206" s="1060"/>
      <c r="AM206" s="1060"/>
      <c r="AN206" s="1060"/>
      <c r="AO206" s="1060"/>
      <c r="AP206" s="1060"/>
    </row>
    <row r="207" spans="1:42" x14ac:dyDescent="0.3">
      <c r="A207" s="1040">
        <v>98</v>
      </c>
      <c r="B207" s="1040">
        <v>75531</v>
      </c>
      <c r="C207" s="1040" t="s">
        <v>558</v>
      </c>
      <c r="D207" s="1040" t="str">
        <f t="shared" si="9"/>
        <v>061901</v>
      </c>
      <c r="E207" s="1040" t="s">
        <v>559</v>
      </c>
      <c r="F207" s="1040" t="str">
        <f>"033"</f>
        <v>033</v>
      </c>
      <c r="H207" s="1041" t="str">
        <f>"29A"</f>
        <v>29A</v>
      </c>
      <c r="I207" s="1040" t="s">
        <v>560</v>
      </c>
      <c r="J207" s="1040">
        <v>409536</v>
      </c>
      <c r="K207" s="1045">
        <v>41396</v>
      </c>
      <c r="L207" s="1040" t="s">
        <v>561</v>
      </c>
      <c r="M207" s="1041">
        <v>2002</v>
      </c>
      <c r="N207" s="1041" t="s">
        <v>562</v>
      </c>
      <c r="O207" s="1041" t="s">
        <v>562</v>
      </c>
      <c r="P207" s="1041" t="s">
        <v>562</v>
      </c>
      <c r="Q207" s="1041" t="s">
        <v>562</v>
      </c>
      <c r="R207" s="1040">
        <v>14</v>
      </c>
      <c r="S207" s="1041">
        <v>1</v>
      </c>
      <c r="T207" s="1042">
        <v>77283</v>
      </c>
      <c r="U207" s="1042">
        <v>13512985</v>
      </c>
      <c r="V207" s="1042">
        <v>1294899</v>
      </c>
      <c r="W207" s="1042"/>
      <c r="X207" s="1042">
        <v>175</v>
      </c>
      <c r="Y207" s="1042">
        <v>17</v>
      </c>
      <c r="Z207" s="1040" t="s">
        <v>563</v>
      </c>
      <c r="AA207" s="1040" t="s">
        <v>1044</v>
      </c>
      <c r="AB207" s="1040" t="s">
        <v>565</v>
      </c>
      <c r="AC207" s="1040" t="s">
        <v>566</v>
      </c>
      <c r="AD207" s="1040" t="s">
        <v>1045</v>
      </c>
      <c r="AE207" s="1041"/>
      <c r="AF207" s="1040" t="s">
        <v>568</v>
      </c>
      <c r="AG207" s="1040">
        <v>0</v>
      </c>
      <c r="AH207" s="1040" t="s">
        <v>1046</v>
      </c>
      <c r="AI207" s="1040" t="s">
        <v>1047</v>
      </c>
      <c r="AJ207" s="1040" t="s">
        <v>571</v>
      </c>
      <c r="AK207" s="1041">
        <v>76226</v>
      </c>
      <c r="AL207" s="1040" t="s">
        <v>1048</v>
      </c>
      <c r="AM207" s="1040" t="s">
        <v>1049</v>
      </c>
      <c r="AN207" s="1040" t="s">
        <v>1050</v>
      </c>
      <c r="AO207" s="1040">
        <v>12889000</v>
      </c>
      <c r="AP207" s="1040">
        <v>409536</v>
      </c>
    </row>
    <row r="208" spans="1:42" x14ac:dyDescent="0.3">
      <c r="A208" s="1040">
        <v>98</v>
      </c>
      <c r="B208" s="1040">
        <v>75531</v>
      </c>
      <c r="C208" s="1040" t="s">
        <v>558</v>
      </c>
      <c r="D208" s="1040" t="str">
        <f t="shared" si="9"/>
        <v>061901</v>
      </c>
      <c r="E208" s="1040" t="s">
        <v>559</v>
      </c>
      <c r="F208" s="1040" t="str">
        <f>"033"</f>
        <v>033</v>
      </c>
      <c r="G208" s="1040" t="s">
        <v>1043</v>
      </c>
      <c r="H208" s="1041" t="str">
        <f>"29B"</f>
        <v>29B</v>
      </c>
      <c r="I208" s="1040" t="s">
        <v>922</v>
      </c>
      <c r="J208" s="1040">
        <v>409662</v>
      </c>
      <c r="K208" s="1045">
        <v>41396</v>
      </c>
      <c r="L208" s="1040" t="s">
        <v>561</v>
      </c>
      <c r="M208" s="1041">
        <v>2012</v>
      </c>
      <c r="N208" s="1041" t="s">
        <v>576</v>
      </c>
      <c r="O208" s="1041" t="s">
        <v>576</v>
      </c>
      <c r="P208" s="1041" t="s">
        <v>576</v>
      </c>
      <c r="Q208" s="1041" t="s">
        <v>576</v>
      </c>
      <c r="R208" s="1040">
        <v>7</v>
      </c>
      <c r="S208" s="1041">
        <v>1</v>
      </c>
      <c r="T208" s="1042">
        <v>80</v>
      </c>
      <c r="U208" s="1042">
        <v>2092</v>
      </c>
      <c r="V208" s="1042">
        <v>1013</v>
      </c>
      <c r="W208" s="1042"/>
      <c r="X208" s="1042">
        <v>26</v>
      </c>
      <c r="Y208" s="1042">
        <v>13</v>
      </c>
      <c r="Z208" s="1040" t="s">
        <v>577</v>
      </c>
      <c r="AA208" s="1040" t="s">
        <v>615</v>
      </c>
      <c r="AB208" s="1040" t="s">
        <v>606</v>
      </c>
      <c r="AC208" s="1040" t="s">
        <v>606</v>
      </c>
      <c r="AD208" s="1040" t="s">
        <v>616</v>
      </c>
      <c r="AE208" s="1041"/>
      <c r="AF208" s="1040" t="s">
        <v>582</v>
      </c>
      <c r="AG208" s="1040">
        <v>0</v>
      </c>
      <c r="AH208" s="1040" t="s">
        <v>1046</v>
      </c>
      <c r="AI208" s="1040" t="s">
        <v>1047</v>
      </c>
      <c r="AJ208" s="1040" t="s">
        <v>571</v>
      </c>
      <c r="AK208" s="1041">
        <v>76226</v>
      </c>
      <c r="AL208" s="1040" t="s">
        <v>1051</v>
      </c>
      <c r="AM208" s="1040" t="s">
        <v>1052</v>
      </c>
      <c r="AN208" s="1040"/>
      <c r="AO208" s="1040">
        <v>2000</v>
      </c>
      <c r="AP208" s="1040">
        <v>409662</v>
      </c>
    </row>
    <row r="209" spans="1:42" x14ac:dyDescent="0.3">
      <c r="A209" s="1040">
        <v>98</v>
      </c>
      <c r="B209" s="1040">
        <v>75531</v>
      </c>
      <c r="C209" s="1040" t="s">
        <v>558</v>
      </c>
      <c r="D209" s="1040" t="str">
        <f t="shared" si="9"/>
        <v>061901</v>
      </c>
      <c r="E209" s="1040" t="s">
        <v>559</v>
      </c>
      <c r="F209" s="1040" t="str">
        <f>"033"</f>
        <v>033</v>
      </c>
      <c r="G209" s="1040" t="s">
        <v>1043</v>
      </c>
      <c r="H209" s="1041" t="str">
        <f>"29C"</f>
        <v>29C</v>
      </c>
      <c r="I209" s="1040" t="s">
        <v>925</v>
      </c>
      <c r="J209" s="1040">
        <v>409663</v>
      </c>
      <c r="K209" s="1045">
        <v>41396</v>
      </c>
      <c r="L209" s="1040" t="s">
        <v>561</v>
      </c>
      <c r="M209" s="1041">
        <v>2012</v>
      </c>
      <c r="N209" s="1041" t="s">
        <v>576</v>
      </c>
      <c r="O209" s="1041" t="s">
        <v>576</v>
      </c>
      <c r="P209" s="1041" t="s">
        <v>576</v>
      </c>
      <c r="Q209" s="1041" t="s">
        <v>576</v>
      </c>
      <c r="R209" s="1040">
        <v>7</v>
      </c>
      <c r="S209" s="1041">
        <v>1</v>
      </c>
      <c r="T209" s="1042">
        <v>80</v>
      </c>
      <c r="U209" s="1042">
        <v>2092</v>
      </c>
      <c r="V209" s="1042">
        <v>1013</v>
      </c>
      <c r="W209" s="1042"/>
      <c r="X209" s="1042">
        <v>26</v>
      </c>
      <c r="Y209" s="1042">
        <v>13</v>
      </c>
      <c r="Z209" s="1040" t="s">
        <v>577</v>
      </c>
      <c r="AA209" s="1040" t="s">
        <v>615</v>
      </c>
      <c r="AB209" s="1040" t="s">
        <v>606</v>
      </c>
      <c r="AC209" s="1040" t="s">
        <v>606</v>
      </c>
      <c r="AD209" s="1040" t="s">
        <v>616</v>
      </c>
      <c r="AE209" s="1041"/>
      <c r="AF209" s="1040" t="s">
        <v>582</v>
      </c>
      <c r="AG209" s="1040">
        <v>0</v>
      </c>
      <c r="AH209" s="1040" t="s">
        <v>1046</v>
      </c>
      <c r="AI209" s="1040" t="s">
        <v>1047</v>
      </c>
      <c r="AJ209" s="1040" t="s">
        <v>571</v>
      </c>
      <c r="AK209" s="1041">
        <v>76226</v>
      </c>
      <c r="AL209" s="1040" t="s">
        <v>1053</v>
      </c>
      <c r="AM209" s="1040" t="s">
        <v>1054</v>
      </c>
      <c r="AN209" s="1040"/>
      <c r="AO209" s="1040">
        <v>2000</v>
      </c>
      <c r="AP209" s="1040">
        <v>409663</v>
      </c>
    </row>
    <row r="210" spans="1:42" x14ac:dyDescent="0.3">
      <c r="A210" s="1040">
        <v>98</v>
      </c>
      <c r="B210" s="1040">
        <v>75531</v>
      </c>
      <c r="C210" s="1040" t="s">
        <v>558</v>
      </c>
      <c r="D210" s="1040" t="str">
        <f t="shared" si="9"/>
        <v>061901</v>
      </c>
      <c r="E210" s="1040" t="s">
        <v>559</v>
      </c>
      <c r="F210" s="1040" t="str">
        <f>"033"</f>
        <v>033</v>
      </c>
      <c r="G210" s="1040" t="s">
        <v>1043</v>
      </c>
      <c r="H210" s="1041" t="str">
        <f>"29D"</f>
        <v>29D</v>
      </c>
      <c r="I210" s="1040" t="s">
        <v>928</v>
      </c>
      <c r="J210" s="1040">
        <v>409664</v>
      </c>
      <c r="K210" s="1045">
        <v>41396</v>
      </c>
      <c r="L210" s="1040" t="s">
        <v>561</v>
      </c>
      <c r="M210" s="1041">
        <v>2012</v>
      </c>
      <c r="N210" s="1041" t="s">
        <v>576</v>
      </c>
      <c r="O210" s="1041" t="s">
        <v>576</v>
      </c>
      <c r="P210" s="1041" t="s">
        <v>576</v>
      </c>
      <c r="Q210" s="1041" t="s">
        <v>576</v>
      </c>
      <c r="R210" s="1040">
        <v>7</v>
      </c>
      <c r="S210" s="1041">
        <v>1</v>
      </c>
      <c r="T210" s="1042">
        <v>80</v>
      </c>
      <c r="U210" s="1042">
        <v>2092</v>
      </c>
      <c r="V210" s="1042">
        <v>1013</v>
      </c>
      <c r="W210" s="1042"/>
      <c r="X210" s="1042">
        <v>26</v>
      </c>
      <c r="Y210" s="1042">
        <v>13</v>
      </c>
      <c r="Z210" s="1040" t="s">
        <v>577</v>
      </c>
      <c r="AA210" s="1040" t="s">
        <v>615</v>
      </c>
      <c r="AB210" s="1040" t="s">
        <v>606</v>
      </c>
      <c r="AC210" s="1040" t="s">
        <v>606</v>
      </c>
      <c r="AD210" s="1040" t="s">
        <v>616</v>
      </c>
      <c r="AE210" s="1041"/>
      <c r="AF210" s="1040" t="s">
        <v>582</v>
      </c>
      <c r="AG210" s="1040">
        <v>0</v>
      </c>
      <c r="AH210" s="1040" t="s">
        <v>1046</v>
      </c>
      <c r="AI210" s="1040" t="s">
        <v>1047</v>
      </c>
      <c r="AJ210" s="1040" t="s">
        <v>571</v>
      </c>
      <c r="AK210" s="1041">
        <v>76226</v>
      </c>
      <c r="AL210" s="1040" t="s">
        <v>1053</v>
      </c>
      <c r="AM210" s="1040" t="s">
        <v>1055</v>
      </c>
      <c r="AN210" s="1040"/>
      <c r="AO210" s="1040">
        <v>2000</v>
      </c>
      <c r="AP210" s="1040">
        <v>409664</v>
      </c>
    </row>
    <row r="211" spans="1:42" x14ac:dyDescent="0.3">
      <c r="A211" s="1040">
        <v>98</v>
      </c>
      <c r="B211" s="1040">
        <v>75531</v>
      </c>
      <c r="C211" s="1040" t="s">
        <v>558</v>
      </c>
      <c r="D211" s="1040" t="str">
        <f t="shared" si="9"/>
        <v>061901</v>
      </c>
      <c r="E211" s="1040" t="s">
        <v>559</v>
      </c>
      <c r="F211" s="1040" t="str">
        <f>"033"</f>
        <v>033</v>
      </c>
      <c r="G211" s="1040" t="s">
        <v>1043</v>
      </c>
      <c r="H211" s="1041" t="str">
        <f>"999"</f>
        <v>999</v>
      </c>
      <c r="I211" s="1040" t="s">
        <v>586</v>
      </c>
      <c r="J211" s="1040">
        <v>409763</v>
      </c>
      <c r="K211" s="1040"/>
      <c r="L211" s="1040" t="s">
        <v>561</v>
      </c>
      <c r="M211" s="1041"/>
      <c r="N211" s="1041" t="s">
        <v>576</v>
      </c>
      <c r="O211" s="1041" t="s">
        <v>576</v>
      </c>
      <c r="P211" s="1041" t="s">
        <v>576</v>
      </c>
      <c r="Q211" s="1041" t="s">
        <v>576</v>
      </c>
      <c r="R211" s="1040">
        <v>0</v>
      </c>
      <c r="S211" s="1041">
        <v>0</v>
      </c>
      <c r="T211" s="1042"/>
      <c r="U211" s="1042"/>
      <c r="V211" s="1042"/>
      <c r="W211" s="1042">
        <v>251619</v>
      </c>
      <c r="X211" s="1042"/>
      <c r="Y211" s="1042"/>
      <c r="Z211" s="1040"/>
      <c r="AA211" s="1040"/>
      <c r="AB211" s="1040"/>
      <c r="AC211" s="1040"/>
      <c r="AD211" s="1040"/>
      <c r="AE211" s="1041"/>
      <c r="AF211" s="1040"/>
      <c r="AG211" s="1040">
        <v>0</v>
      </c>
      <c r="AH211" s="1040" t="s">
        <v>1046</v>
      </c>
      <c r="AI211" s="1040" t="s">
        <v>1047</v>
      </c>
      <c r="AJ211" s="1040" t="s">
        <v>571</v>
      </c>
      <c r="AK211" s="1041">
        <v>76226</v>
      </c>
      <c r="AL211" s="1040"/>
      <c r="AM211" s="1040"/>
      <c r="AN211" s="1040"/>
      <c r="AO211" s="1040">
        <v>0</v>
      </c>
      <c r="AP211" s="1040">
        <v>409763</v>
      </c>
    </row>
    <row r="212" spans="1:42" s="1059" customFormat="1" x14ac:dyDescent="0.3">
      <c r="A212" s="1056"/>
      <c r="B212" s="1056"/>
      <c r="C212" s="1056"/>
      <c r="D212" s="1056"/>
      <c r="E212" s="1056"/>
      <c r="F212" s="1056"/>
      <c r="G212" s="1056"/>
      <c r="H212" s="1057"/>
      <c r="I212" s="1056"/>
      <c r="J212" s="1056"/>
      <c r="K212" s="1056"/>
      <c r="L212" s="1056"/>
      <c r="M212" s="1057"/>
      <c r="N212" s="1057"/>
      <c r="O212" s="1057"/>
      <c r="P212" s="1057"/>
      <c r="Q212" s="1057"/>
      <c r="R212" s="1056"/>
      <c r="S212" s="1057"/>
      <c r="T212" s="1058"/>
      <c r="U212" s="1058"/>
      <c r="V212" s="1058"/>
      <c r="W212" s="1058"/>
      <c r="X212" s="1058"/>
      <c r="Y212" s="1058"/>
      <c r="Z212" s="1056"/>
      <c r="AA212" s="1056"/>
      <c r="AB212" s="1056"/>
      <c r="AC212" s="1056"/>
      <c r="AD212" s="1056"/>
      <c r="AE212" s="1057"/>
      <c r="AF212" s="1056"/>
      <c r="AG212" s="1056"/>
      <c r="AH212" s="1056"/>
      <c r="AI212" s="1056"/>
      <c r="AJ212" s="1056"/>
      <c r="AK212" s="1057"/>
      <c r="AL212" s="1056"/>
      <c r="AM212" s="1056"/>
      <c r="AN212" s="1056"/>
      <c r="AO212" s="1056"/>
      <c r="AP212" s="1056"/>
    </row>
    <row r="213" spans="1:42" s="1059" customFormat="1" x14ac:dyDescent="0.3">
      <c r="A213" s="1060"/>
      <c r="B213" s="1060"/>
      <c r="C213" s="1060"/>
      <c r="D213" s="1060"/>
      <c r="E213" s="1060"/>
      <c r="F213" s="1060"/>
      <c r="G213" s="1060"/>
      <c r="H213" s="1061"/>
      <c r="I213" s="1062" t="s">
        <v>1056</v>
      </c>
      <c r="J213" s="1060"/>
      <c r="K213" s="1060"/>
      <c r="L213" s="1060"/>
      <c r="M213" s="1061"/>
      <c r="N213" s="1061"/>
      <c r="O213" s="1061"/>
      <c r="P213" s="1061"/>
      <c r="Q213" s="1061"/>
      <c r="R213" s="1060"/>
      <c r="S213" s="1061"/>
      <c r="T213" s="1063"/>
      <c r="U213" s="1063"/>
      <c r="V213" s="1063"/>
      <c r="W213" s="1063"/>
      <c r="X213" s="1063"/>
      <c r="Y213" s="1063"/>
      <c r="Z213" s="1060"/>
      <c r="AA213" s="1060"/>
      <c r="AB213" s="1060"/>
      <c r="AC213" s="1060"/>
      <c r="AD213" s="1060"/>
      <c r="AE213" s="1061"/>
      <c r="AF213" s="1060"/>
      <c r="AG213" s="1060"/>
      <c r="AH213" s="1060"/>
      <c r="AI213" s="1060"/>
      <c r="AJ213" s="1060"/>
      <c r="AK213" s="1061"/>
      <c r="AL213" s="1060"/>
      <c r="AM213" s="1060"/>
      <c r="AN213" s="1060"/>
      <c r="AO213" s="1060"/>
      <c r="AP213" s="1060"/>
    </row>
    <row r="214" spans="1:42" x14ac:dyDescent="0.3">
      <c r="A214" s="1040">
        <v>98</v>
      </c>
      <c r="B214" s="1040">
        <v>75531</v>
      </c>
      <c r="C214" s="1040" t="s">
        <v>558</v>
      </c>
      <c r="D214" s="1040" t="str">
        <f t="shared" si="9"/>
        <v>061901</v>
      </c>
      <c r="E214" s="1040" t="s">
        <v>559</v>
      </c>
      <c r="F214" s="1040" t="str">
        <f t="shared" ref="F214:F221" si="12">"034"</f>
        <v>034</v>
      </c>
      <c r="H214" s="1041" t="str">
        <f>"4A"</f>
        <v>4A</v>
      </c>
      <c r="I214" s="1040" t="s">
        <v>560</v>
      </c>
      <c r="J214" s="1040">
        <v>409523</v>
      </c>
      <c r="K214" s="1045">
        <v>41402</v>
      </c>
      <c r="L214" s="1040" t="s">
        <v>561</v>
      </c>
      <c r="M214" s="1041">
        <v>1987</v>
      </c>
      <c r="N214" s="1041" t="s">
        <v>562</v>
      </c>
      <c r="O214" s="1041" t="s">
        <v>562</v>
      </c>
      <c r="P214" s="1041" t="s">
        <v>562</v>
      </c>
      <c r="Q214" s="1041" t="s">
        <v>562</v>
      </c>
      <c r="R214" s="1040">
        <v>14</v>
      </c>
      <c r="S214" s="1041">
        <v>1</v>
      </c>
      <c r="T214" s="1042">
        <v>93504</v>
      </c>
      <c r="U214" s="1042">
        <v>13611536</v>
      </c>
      <c r="V214" s="1042">
        <v>2270928</v>
      </c>
      <c r="W214" s="1042"/>
      <c r="X214" s="1042">
        <v>146</v>
      </c>
      <c r="Y214" s="1042">
        <v>24</v>
      </c>
      <c r="Z214" s="1040" t="s">
        <v>563</v>
      </c>
      <c r="AA214" s="1040" t="s">
        <v>693</v>
      </c>
      <c r="AB214" s="1040" t="s">
        <v>637</v>
      </c>
      <c r="AC214" s="1040" t="s">
        <v>638</v>
      </c>
      <c r="AD214" s="1040" t="s">
        <v>1057</v>
      </c>
      <c r="AE214" s="1055"/>
      <c r="AF214" s="1040" t="s">
        <v>1058</v>
      </c>
      <c r="AG214" s="1040">
        <v>0</v>
      </c>
      <c r="AH214" s="1040" t="s">
        <v>1059</v>
      </c>
      <c r="AI214" s="1040" t="s">
        <v>594</v>
      </c>
      <c r="AJ214" s="1040" t="s">
        <v>571</v>
      </c>
      <c r="AK214" s="1041">
        <v>76208</v>
      </c>
      <c r="AL214" s="1040" t="s">
        <v>1060</v>
      </c>
      <c r="AM214" s="1040" t="s">
        <v>1061</v>
      </c>
      <c r="AN214" s="1040" t="s">
        <v>1062</v>
      </c>
      <c r="AO214" s="1040">
        <v>12983000</v>
      </c>
      <c r="AP214" s="1040">
        <v>409523</v>
      </c>
    </row>
    <row r="215" spans="1:42" x14ac:dyDescent="0.3">
      <c r="A215" s="1040">
        <v>98</v>
      </c>
      <c r="B215" s="1040">
        <v>75531</v>
      </c>
      <c r="C215" s="1040" t="s">
        <v>558</v>
      </c>
      <c r="D215" s="1040" t="str">
        <f t="shared" si="9"/>
        <v>061901</v>
      </c>
      <c r="E215" s="1040" t="s">
        <v>559</v>
      </c>
      <c r="F215" s="1040" t="str">
        <f t="shared" si="12"/>
        <v>034</v>
      </c>
      <c r="G215" s="1040" t="s">
        <v>1056</v>
      </c>
      <c r="H215" s="1041" t="str">
        <f>"4B"</f>
        <v>4B</v>
      </c>
      <c r="I215" s="1040" t="s">
        <v>1063</v>
      </c>
      <c r="J215" s="1040">
        <v>409665</v>
      </c>
      <c r="K215" s="1045">
        <v>41402</v>
      </c>
      <c r="L215" s="1040" t="s">
        <v>561</v>
      </c>
      <c r="M215" s="1041">
        <v>2000</v>
      </c>
      <c r="N215" s="1041" t="s">
        <v>576</v>
      </c>
      <c r="O215" s="1041" t="s">
        <v>576</v>
      </c>
      <c r="P215" s="1041" t="s">
        <v>576</v>
      </c>
      <c r="Q215" s="1041" t="s">
        <v>576</v>
      </c>
      <c r="R215" s="1040">
        <v>9</v>
      </c>
      <c r="S215" s="1041">
        <v>1</v>
      </c>
      <c r="T215" s="1042">
        <v>768</v>
      </c>
      <c r="U215" s="1042">
        <v>73388</v>
      </c>
      <c r="V215" s="1042">
        <v>11242</v>
      </c>
      <c r="W215" s="1042"/>
      <c r="X215" s="1042">
        <v>96</v>
      </c>
      <c r="Y215" s="1042">
        <v>15</v>
      </c>
      <c r="Z215" s="1040" t="s">
        <v>577</v>
      </c>
      <c r="AA215" s="1040" t="s">
        <v>578</v>
      </c>
      <c r="AB215" s="1040" t="s">
        <v>579</v>
      </c>
      <c r="AC215" s="1040" t="s">
        <v>580</v>
      </c>
      <c r="AD215" s="1040" t="s">
        <v>581</v>
      </c>
      <c r="AE215" s="1054"/>
      <c r="AF215" s="1040" t="s">
        <v>582</v>
      </c>
      <c r="AG215" s="1040">
        <v>0</v>
      </c>
      <c r="AH215" s="1040" t="s">
        <v>1059</v>
      </c>
      <c r="AI215" s="1040" t="s">
        <v>594</v>
      </c>
      <c r="AJ215" s="1040" t="s">
        <v>571</v>
      </c>
      <c r="AK215" s="1041">
        <v>76208</v>
      </c>
      <c r="AL215" s="1040" t="s">
        <v>1064</v>
      </c>
      <c r="AM215" s="1040" t="s">
        <v>1065</v>
      </c>
      <c r="AN215" s="1040" t="s">
        <v>585</v>
      </c>
      <c r="AO215" s="1040">
        <v>70000</v>
      </c>
      <c r="AP215" s="1040">
        <v>409665</v>
      </c>
    </row>
    <row r="216" spans="1:42" x14ac:dyDescent="0.3">
      <c r="A216" s="1040">
        <v>98</v>
      </c>
      <c r="B216" s="1040">
        <v>75531</v>
      </c>
      <c r="C216" s="1040" t="s">
        <v>558</v>
      </c>
      <c r="D216" s="1040" t="str">
        <f t="shared" si="9"/>
        <v>061901</v>
      </c>
      <c r="E216" s="1040" t="s">
        <v>559</v>
      </c>
      <c r="F216" s="1040" t="str">
        <f t="shared" si="12"/>
        <v>034</v>
      </c>
      <c r="G216" s="1040" t="s">
        <v>1056</v>
      </c>
      <c r="H216" s="1041" t="str">
        <f>"4C"</f>
        <v>4C</v>
      </c>
      <c r="I216" s="1040" t="s">
        <v>1066</v>
      </c>
      <c r="J216" s="1040">
        <v>409666</v>
      </c>
      <c r="K216" s="1045">
        <v>41402</v>
      </c>
      <c r="L216" s="1040" t="s">
        <v>561</v>
      </c>
      <c r="M216" s="1041">
        <v>2000</v>
      </c>
      <c r="N216" s="1041" t="s">
        <v>576</v>
      </c>
      <c r="O216" s="1041" t="s">
        <v>576</v>
      </c>
      <c r="P216" s="1041" t="s">
        <v>576</v>
      </c>
      <c r="Q216" s="1041" t="s">
        <v>576</v>
      </c>
      <c r="R216" s="1040">
        <v>9</v>
      </c>
      <c r="S216" s="1041">
        <v>1</v>
      </c>
      <c r="T216" s="1042">
        <v>768</v>
      </c>
      <c r="U216" s="1042">
        <v>73388</v>
      </c>
      <c r="V216" s="1042">
        <v>11242</v>
      </c>
      <c r="W216" s="1042"/>
      <c r="X216" s="1042">
        <v>96</v>
      </c>
      <c r="Y216" s="1042">
        <v>15</v>
      </c>
      <c r="Z216" s="1040" t="s">
        <v>577</v>
      </c>
      <c r="AA216" s="1040" t="s">
        <v>578</v>
      </c>
      <c r="AB216" s="1040" t="s">
        <v>579</v>
      </c>
      <c r="AC216" s="1040" t="s">
        <v>580</v>
      </c>
      <c r="AD216" s="1040" t="s">
        <v>581</v>
      </c>
      <c r="AE216" s="1054"/>
      <c r="AF216" s="1040" t="s">
        <v>582</v>
      </c>
      <c r="AG216" s="1040">
        <v>0</v>
      </c>
      <c r="AH216" s="1040" t="s">
        <v>1059</v>
      </c>
      <c r="AI216" s="1040" t="s">
        <v>594</v>
      </c>
      <c r="AJ216" s="1040" t="s">
        <v>571</v>
      </c>
      <c r="AK216" s="1041">
        <v>76208</v>
      </c>
      <c r="AL216" s="1040" t="s">
        <v>1067</v>
      </c>
      <c r="AM216" s="1040" t="s">
        <v>1065</v>
      </c>
      <c r="AN216" s="1040" t="s">
        <v>585</v>
      </c>
      <c r="AO216" s="1040">
        <v>70000</v>
      </c>
      <c r="AP216" s="1040">
        <v>409666</v>
      </c>
    </row>
    <row r="217" spans="1:42" x14ac:dyDescent="0.3">
      <c r="A217" s="1040">
        <v>98</v>
      </c>
      <c r="B217" s="1040">
        <v>75531</v>
      </c>
      <c r="C217" s="1040" t="s">
        <v>558</v>
      </c>
      <c r="D217" s="1040" t="str">
        <f t="shared" si="9"/>
        <v>061901</v>
      </c>
      <c r="E217" s="1040" t="s">
        <v>559</v>
      </c>
      <c r="F217" s="1040" t="str">
        <f t="shared" si="12"/>
        <v>034</v>
      </c>
      <c r="G217" s="1040" t="s">
        <v>1056</v>
      </c>
      <c r="H217" s="1041" t="str">
        <f>"4D"</f>
        <v>4D</v>
      </c>
      <c r="I217" s="1040" t="s">
        <v>1068</v>
      </c>
      <c r="J217" s="1040">
        <v>409667</v>
      </c>
      <c r="K217" s="1045">
        <v>41402</v>
      </c>
      <c r="L217" s="1040" t="s">
        <v>561</v>
      </c>
      <c r="M217" s="1041">
        <v>2000</v>
      </c>
      <c r="N217" s="1041" t="s">
        <v>576</v>
      </c>
      <c r="O217" s="1041" t="s">
        <v>576</v>
      </c>
      <c r="P217" s="1041" t="s">
        <v>576</v>
      </c>
      <c r="Q217" s="1041" t="s">
        <v>576</v>
      </c>
      <c r="R217" s="1040">
        <v>9</v>
      </c>
      <c r="S217" s="1041">
        <v>1</v>
      </c>
      <c r="T217" s="1042">
        <v>768</v>
      </c>
      <c r="U217" s="1042">
        <v>73388</v>
      </c>
      <c r="V217" s="1042">
        <v>11242</v>
      </c>
      <c r="W217" s="1042"/>
      <c r="X217" s="1042">
        <v>96</v>
      </c>
      <c r="Y217" s="1042">
        <v>15</v>
      </c>
      <c r="Z217" s="1040" t="s">
        <v>577</v>
      </c>
      <c r="AA217" s="1040" t="s">
        <v>578</v>
      </c>
      <c r="AB217" s="1040" t="s">
        <v>579</v>
      </c>
      <c r="AC217" s="1040" t="s">
        <v>580</v>
      </c>
      <c r="AD217" s="1040" t="s">
        <v>581</v>
      </c>
      <c r="AE217" s="1054"/>
      <c r="AF217" s="1040" t="s">
        <v>582</v>
      </c>
      <c r="AG217" s="1040">
        <v>0</v>
      </c>
      <c r="AH217" s="1040" t="s">
        <v>1059</v>
      </c>
      <c r="AI217" s="1040" t="s">
        <v>594</v>
      </c>
      <c r="AJ217" s="1040" t="s">
        <v>571</v>
      </c>
      <c r="AK217" s="1041">
        <v>76208</v>
      </c>
      <c r="AL217" s="1040" t="s">
        <v>1069</v>
      </c>
      <c r="AM217" s="1040" t="s">
        <v>1070</v>
      </c>
      <c r="AN217" s="1040" t="s">
        <v>585</v>
      </c>
      <c r="AO217" s="1040">
        <v>70000</v>
      </c>
      <c r="AP217" s="1040">
        <v>409667</v>
      </c>
    </row>
    <row r="218" spans="1:42" x14ac:dyDescent="0.3">
      <c r="A218" s="1040">
        <v>98</v>
      </c>
      <c r="B218" s="1040">
        <v>75531</v>
      </c>
      <c r="C218" s="1040" t="s">
        <v>558</v>
      </c>
      <c r="D218" s="1040" t="str">
        <f t="shared" si="9"/>
        <v>061901</v>
      </c>
      <c r="E218" s="1040" t="s">
        <v>559</v>
      </c>
      <c r="F218" s="1040" t="str">
        <f t="shared" si="12"/>
        <v>034</v>
      </c>
      <c r="G218" s="1040" t="s">
        <v>1056</v>
      </c>
      <c r="H218" s="1041" t="str">
        <f>"4E"</f>
        <v>4E</v>
      </c>
      <c r="I218" s="1040" t="s">
        <v>1071</v>
      </c>
      <c r="J218" s="1040">
        <v>409668</v>
      </c>
      <c r="K218" s="1045">
        <v>41402</v>
      </c>
      <c r="L218" s="1040" t="s">
        <v>561</v>
      </c>
      <c r="M218" s="1041">
        <v>2000</v>
      </c>
      <c r="N218" s="1041" t="s">
        <v>576</v>
      </c>
      <c r="O218" s="1041" t="s">
        <v>576</v>
      </c>
      <c r="P218" s="1041" t="s">
        <v>576</v>
      </c>
      <c r="Q218" s="1041" t="s">
        <v>576</v>
      </c>
      <c r="R218" s="1040">
        <v>9</v>
      </c>
      <c r="S218" s="1041">
        <v>1</v>
      </c>
      <c r="T218" s="1042">
        <v>768</v>
      </c>
      <c r="U218" s="1042">
        <v>73388</v>
      </c>
      <c r="V218" s="1042">
        <v>11242</v>
      </c>
      <c r="W218" s="1042"/>
      <c r="X218" s="1042">
        <v>96</v>
      </c>
      <c r="Y218" s="1042">
        <v>15</v>
      </c>
      <c r="Z218" s="1040" t="s">
        <v>577</v>
      </c>
      <c r="AA218" s="1040" t="s">
        <v>578</v>
      </c>
      <c r="AB218" s="1040" t="s">
        <v>579</v>
      </c>
      <c r="AC218" s="1040" t="s">
        <v>580</v>
      </c>
      <c r="AD218" s="1040" t="s">
        <v>581</v>
      </c>
      <c r="AE218" s="1054"/>
      <c r="AF218" s="1040" t="s">
        <v>582</v>
      </c>
      <c r="AG218" s="1040">
        <v>0</v>
      </c>
      <c r="AH218" s="1040" t="s">
        <v>1059</v>
      </c>
      <c r="AI218" s="1040" t="s">
        <v>594</v>
      </c>
      <c r="AJ218" s="1040" t="s">
        <v>571</v>
      </c>
      <c r="AK218" s="1041">
        <v>76208</v>
      </c>
      <c r="AL218" s="1040" t="s">
        <v>1067</v>
      </c>
      <c r="AM218" s="1040" t="s">
        <v>1072</v>
      </c>
      <c r="AN218" s="1040" t="s">
        <v>585</v>
      </c>
      <c r="AO218" s="1040">
        <v>70000</v>
      </c>
      <c r="AP218" s="1040">
        <v>409668</v>
      </c>
    </row>
    <row r="219" spans="1:42" x14ac:dyDescent="0.3">
      <c r="A219" s="1040">
        <v>98</v>
      </c>
      <c r="B219" s="1040">
        <v>75531</v>
      </c>
      <c r="C219" s="1040" t="s">
        <v>558</v>
      </c>
      <c r="D219" s="1040" t="str">
        <f t="shared" si="9"/>
        <v>061901</v>
      </c>
      <c r="E219" s="1040" t="s">
        <v>559</v>
      </c>
      <c r="F219" s="1040" t="str">
        <f t="shared" si="12"/>
        <v>034</v>
      </c>
      <c r="G219" s="1040" t="s">
        <v>1056</v>
      </c>
      <c r="H219" s="1041" t="str">
        <f>"4F"</f>
        <v>4F</v>
      </c>
      <c r="I219" s="1040" t="s">
        <v>1073</v>
      </c>
      <c r="J219" s="1040">
        <v>409669</v>
      </c>
      <c r="K219" s="1045">
        <v>41402</v>
      </c>
      <c r="L219" s="1040" t="s">
        <v>561</v>
      </c>
      <c r="M219" s="1041">
        <v>2000</v>
      </c>
      <c r="N219" s="1041" t="s">
        <v>576</v>
      </c>
      <c r="O219" s="1041" t="s">
        <v>576</v>
      </c>
      <c r="P219" s="1041" t="s">
        <v>576</v>
      </c>
      <c r="Q219" s="1041" t="s">
        <v>576</v>
      </c>
      <c r="R219" s="1040">
        <v>9</v>
      </c>
      <c r="S219" s="1041">
        <v>1</v>
      </c>
      <c r="T219" s="1042">
        <v>768</v>
      </c>
      <c r="U219" s="1042">
        <v>73388</v>
      </c>
      <c r="V219" s="1042">
        <v>11242</v>
      </c>
      <c r="W219" s="1042"/>
      <c r="X219" s="1042">
        <v>96</v>
      </c>
      <c r="Y219" s="1042">
        <v>15</v>
      </c>
      <c r="Z219" s="1040" t="s">
        <v>577</v>
      </c>
      <c r="AA219" s="1040" t="s">
        <v>578</v>
      </c>
      <c r="AB219" s="1040" t="s">
        <v>579</v>
      </c>
      <c r="AC219" s="1040" t="s">
        <v>580</v>
      </c>
      <c r="AD219" s="1040" t="s">
        <v>581</v>
      </c>
      <c r="AE219" s="1054"/>
      <c r="AF219" s="1040" t="s">
        <v>582</v>
      </c>
      <c r="AG219" s="1040">
        <v>0</v>
      </c>
      <c r="AH219" s="1040" t="s">
        <v>1059</v>
      </c>
      <c r="AI219" s="1040" t="s">
        <v>594</v>
      </c>
      <c r="AJ219" s="1040" t="s">
        <v>571</v>
      </c>
      <c r="AK219" s="1041">
        <v>76208</v>
      </c>
      <c r="AL219" s="1040" t="s">
        <v>1074</v>
      </c>
      <c r="AM219" s="1040" t="s">
        <v>1075</v>
      </c>
      <c r="AN219" s="1040" t="s">
        <v>585</v>
      </c>
      <c r="AO219" s="1040">
        <v>70000</v>
      </c>
      <c r="AP219" s="1040">
        <v>409669</v>
      </c>
    </row>
    <row r="220" spans="1:42" x14ac:dyDescent="0.3">
      <c r="A220" s="1040">
        <v>98</v>
      </c>
      <c r="B220" s="1040">
        <v>75531</v>
      </c>
      <c r="C220" s="1040" t="s">
        <v>558</v>
      </c>
      <c r="D220" s="1040" t="str">
        <f t="shared" si="9"/>
        <v>061901</v>
      </c>
      <c r="E220" s="1040" t="s">
        <v>559</v>
      </c>
      <c r="F220" s="1040" t="str">
        <f t="shared" si="12"/>
        <v>034</v>
      </c>
      <c r="G220" s="1040" t="s">
        <v>1056</v>
      </c>
      <c r="H220" s="1041" t="str">
        <f>"4G"</f>
        <v>4G</v>
      </c>
      <c r="I220" s="1040" t="s">
        <v>783</v>
      </c>
      <c r="J220" s="1040">
        <v>409670</v>
      </c>
      <c r="K220" s="1045">
        <v>41402</v>
      </c>
      <c r="L220" s="1040" t="s">
        <v>561</v>
      </c>
      <c r="M220" s="1041">
        <v>2009</v>
      </c>
      <c r="N220" s="1041" t="s">
        <v>576</v>
      </c>
      <c r="O220" s="1041" t="s">
        <v>576</v>
      </c>
      <c r="P220" s="1041" t="s">
        <v>576</v>
      </c>
      <c r="Q220" s="1041" t="s">
        <v>576</v>
      </c>
      <c r="R220" s="1040">
        <v>7</v>
      </c>
      <c r="S220" s="1041">
        <v>1</v>
      </c>
      <c r="T220" s="1042">
        <v>48</v>
      </c>
      <c r="U220" s="1042">
        <v>1046</v>
      </c>
      <c r="V220" s="1042">
        <v>1013</v>
      </c>
      <c r="W220" s="1042"/>
      <c r="X220" s="1042">
        <v>22</v>
      </c>
      <c r="Y220" s="1042">
        <v>21</v>
      </c>
      <c r="Z220" s="1040" t="s">
        <v>577</v>
      </c>
      <c r="AA220" s="1040" t="s">
        <v>615</v>
      </c>
      <c r="AB220" s="1040" t="s">
        <v>606</v>
      </c>
      <c r="AC220" s="1040" t="s">
        <v>606</v>
      </c>
      <c r="AD220" s="1040" t="s">
        <v>616</v>
      </c>
      <c r="AE220" s="1041"/>
      <c r="AF220" s="1040" t="s">
        <v>582</v>
      </c>
      <c r="AG220" s="1040">
        <v>0</v>
      </c>
      <c r="AH220" s="1040" t="s">
        <v>1059</v>
      </c>
      <c r="AI220" s="1040" t="s">
        <v>594</v>
      </c>
      <c r="AJ220" s="1040" t="s">
        <v>571</v>
      </c>
      <c r="AK220" s="1041">
        <v>76208</v>
      </c>
      <c r="AL220" s="1040" t="s">
        <v>974</v>
      </c>
      <c r="AM220" s="1040" t="s">
        <v>1076</v>
      </c>
      <c r="AN220" s="1040"/>
      <c r="AO220" s="1040">
        <v>1000</v>
      </c>
      <c r="AP220" s="1040">
        <v>409670</v>
      </c>
    </row>
    <row r="221" spans="1:42" x14ac:dyDescent="0.3">
      <c r="A221" s="1040">
        <v>98</v>
      </c>
      <c r="B221" s="1040">
        <v>75531</v>
      </c>
      <c r="C221" s="1040" t="s">
        <v>558</v>
      </c>
      <c r="D221" s="1040" t="str">
        <f t="shared" si="9"/>
        <v>061901</v>
      </c>
      <c r="E221" s="1040" t="s">
        <v>559</v>
      </c>
      <c r="F221" s="1040" t="str">
        <f t="shared" si="12"/>
        <v>034</v>
      </c>
      <c r="G221" s="1040" t="s">
        <v>1056</v>
      </c>
      <c r="H221" s="1041" t="str">
        <f>"999"</f>
        <v>999</v>
      </c>
      <c r="I221" s="1040" t="s">
        <v>586</v>
      </c>
      <c r="J221" s="1040">
        <v>409752</v>
      </c>
      <c r="K221" s="1040"/>
      <c r="L221" s="1040" t="s">
        <v>561</v>
      </c>
      <c r="M221" s="1041"/>
      <c r="N221" s="1041" t="s">
        <v>576</v>
      </c>
      <c r="O221" s="1041" t="s">
        <v>576</v>
      </c>
      <c r="P221" s="1041" t="s">
        <v>576</v>
      </c>
      <c r="Q221" s="1041" t="s">
        <v>576</v>
      </c>
      <c r="R221" s="1040">
        <v>0</v>
      </c>
      <c r="S221" s="1041">
        <v>0</v>
      </c>
      <c r="T221" s="1042"/>
      <c r="U221" s="1042"/>
      <c r="V221" s="1042"/>
      <c r="W221" s="1042">
        <v>132100</v>
      </c>
      <c r="X221" s="1042"/>
      <c r="Y221" s="1042"/>
      <c r="Z221" s="1040"/>
      <c r="AA221" s="1040"/>
      <c r="AB221" s="1040"/>
      <c r="AC221" s="1040"/>
      <c r="AD221" s="1040"/>
      <c r="AE221" s="1041"/>
      <c r="AF221" s="1040"/>
      <c r="AG221" s="1040">
        <v>0</v>
      </c>
      <c r="AH221" s="1040" t="s">
        <v>1059</v>
      </c>
      <c r="AI221" s="1040" t="s">
        <v>594</v>
      </c>
      <c r="AJ221" s="1040" t="s">
        <v>571</v>
      </c>
      <c r="AK221" s="1041">
        <v>76208</v>
      </c>
      <c r="AL221" s="1040"/>
      <c r="AM221" s="1040"/>
      <c r="AN221" s="1040"/>
      <c r="AO221" s="1040">
        <v>0</v>
      </c>
      <c r="AP221" s="1040">
        <v>409752</v>
      </c>
    </row>
    <row r="222" spans="1:42" s="1059" customFormat="1" x14ac:dyDescent="0.3">
      <c r="A222" s="1056"/>
      <c r="B222" s="1056"/>
      <c r="C222" s="1056"/>
      <c r="D222" s="1056"/>
      <c r="E222" s="1056"/>
      <c r="F222" s="1056"/>
      <c r="G222" s="1056"/>
      <c r="H222" s="1057"/>
      <c r="I222" s="1056"/>
      <c r="J222" s="1056"/>
      <c r="K222" s="1056"/>
      <c r="L222" s="1056"/>
      <c r="M222" s="1057"/>
      <c r="N222" s="1057"/>
      <c r="O222" s="1057"/>
      <c r="P222" s="1057"/>
      <c r="Q222" s="1057"/>
      <c r="R222" s="1056"/>
      <c r="S222" s="1057"/>
      <c r="T222" s="1058"/>
      <c r="U222" s="1058"/>
      <c r="V222" s="1058"/>
      <c r="W222" s="1058"/>
      <c r="X222" s="1058"/>
      <c r="Y222" s="1058"/>
      <c r="Z222" s="1056"/>
      <c r="AA222" s="1056"/>
      <c r="AB222" s="1056"/>
      <c r="AC222" s="1056"/>
      <c r="AD222" s="1056"/>
      <c r="AE222" s="1057"/>
      <c r="AF222" s="1056"/>
      <c r="AG222" s="1056"/>
      <c r="AH222" s="1056"/>
      <c r="AI222" s="1056"/>
      <c r="AJ222" s="1056"/>
      <c r="AK222" s="1057"/>
      <c r="AL222" s="1056"/>
      <c r="AM222" s="1056"/>
      <c r="AN222" s="1056"/>
      <c r="AO222" s="1056"/>
      <c r="AP222" s="1056"/>
    </row>
    <row r="223" spans="1:42" s="1059" customFormat="1" x14ac:dyDescent="0.3">
      <c r="A223" s="1060"/>
      <c r="B223" s="1060"/>
      <c r="C223" s="1060"/>
      <c r="D223" s="1060"/>
      <c r="E223" s="1060"/>
      <c r="F223" s="1060"/>
      <c r="G223" s="1060"/>
      <c r="H223" s="1061"/>
      <c r="I223" s="1062" t="s">
        <v>1077</v>
      </c>
      <c r="J223" s="1060"/>
      <c r="K223" s="1060"/>
      <c r="L223" s="1060"/>
      <c r="M223" s="1061"/>
      <c r="N223" s="1061"/>
      <c r="O223" s="1061"/>
      <c r="P223" s="1061"/>
      <c r="Q223" s="1061"/>
      <c r="R223" s="1060"/>
      <c r="S223" s="1061"/>
      <c r="T223" s="1063"/>
      <c r="U223" s="1063"/>
      <c r="V223" s="1063"/>
      <c r="W223" s="1063"/>
      <c r="X223" s="1063"/>
      <c r="Y223" s="1063"/>
      <c r="Z223" s="1060"/>
      <c r="AA223" s="1060"/>
      <c r="AB223" s="1060"/>
      <c r="AC223" s="1060"/>
      <c r="AD223" s="1060"/>
      <c r="AE223" s="1061"/>
      <c r="AF223" s="1060"/>
      <c r="AG223" s="1060"/>
      <c r="AH223" s="1060"/>
      <c r="AI223" s="1060"/>
      <c r="AJ223" s="1060"/>
      <c r="AK223" s="1061"/>
      <c r="AL223" s="1060"/>
      <c r="AM223" s="1060"/>
      <c r="AN223" s="1060"/>
      <c r="AO223" s="1060"/>
      <c r="AP223" s="1060"/>
    </row>
    <row r="224" spans="1:42" x14ac:dyDescent="0.3">
      <c r="A224" s="1040">
        <v>98</v>
      </c>
      <c r="B224" s="1040">
        <v>75531</v>
      </c>
      <c r="C224" s="1040" t="s">
        <v>558</v>
      </c>
      <c r="D224" s="1040" t="str">
        <f t="shared" si="9"/>
        <v>061901</v>
      </c>
      <c r="E224" s="1040" t="s">
        <v>559</v>
      </c>
      <c r="F224" s="1040" t="str">
        <f>"035"</f>
        <v>035</v>
      </c>
      <c r="H224" s="1041" t="str">
        <f>"42A"</f>
        <v>42A</v>
      </c>
      <c r="I224" s="1040" t="s">
        <v>560</v>
      </c>
      <c r="J224" s="1040">
        <v>409532</v>
      </c>
      <c r="K224" s="1045">
        <v>41393</v>
      </c>
      <c r="L224" s="1040" t="s">
        <v>561</v>
      </c>
      <c r="M224" s="1041">
        <v>2007</v>
      </c>
      <c r="N224" s="1041" t="s">
        <v>562</v>
      </c>
      <c r="O224" s="1041" t="s">
        <v>562</v>
      </c>
      <c r="P224" s="1041" t="s">
        <v>562</v>
      </c>
      <c r="Q224" s="1041" t="s">
        <v>562</v>
      </c>
      <c r="R224" s="1040">
        <v>14</v>
      </c>
      <c r="S224" s="1041">
        <v>1</v>
      </c>
      <c r="T224" s="1042">
        <v>77284</v>
      </c>
      <c r="U224" s="1042">
        <v>13250839</v>
      </c>
      <c r="V224" s="1042">
        <v>1889563</v>
      </c>
      <c r="W224" s="1042"/>
      <c r="X224" s="1042">
        <v>171</v>
      </c>
      <c r="Y224" s="1042">
        <v>24</v>
      </c>
      <c r="Z224" s="1040" t="s">
        <v>563</v>
      </c>
      <c r="AA224" s="1040" t="s">
        <v>564</v>
      </c>
      <c r="AB224" s="1040" t="s">
        <v>565</v>
      </c>
      <c r="AC224" s="1040" t="s">
        <v>566</v>
      </c>
      <c r="AD224" s="1040" t="s">
        <v>1078</v>
      </c>
      <c r="AE224" s="1041"/>
      <c r="AF224" s="1040" t="s">
        <v>754</v>
      </c>
      <c r="AG224" s="1040">
        <v>0</v>
      </c>
      <c r="AH224" s="1040" t="s">
        <v>1079</v>
      </c>
      <c r="AI224" s="1040" t="s">
        <v>594</v>
      </c>
      <c r="AJ224" s="1040" t="s">
        <v>571</v>
      </c>
      <c r="AK224" s="1041">
        <v>76210</v>
      </c>
      <c r="AL224" s="1040" t="s">
        <v>1080</v>
      </c>
      <c r="AM224" s="1040" t="s">
        <v>1081</v>
      </c>
      <c r="AN224" s="1040" t="s">
        <v>1082</v>
      </c>
      <c r="AO224" s="1040">
        <v>12638959</v>
      </c>
      <c r="AP224" s="1040">
        <v>409532</v>
      </c>
    </row>
    <row r="225" spans="1:42" x14ac:dyDescent="0.3">
      <c r="A225" s="1040">
        <v>98</v>
      </c>
      <c r="B225" s="1040">
        <v>75531</v>
      </c>
      <c r="C225" s="1040" t="s">
        <v>558</v>
      </c>
      <c r="D225" s="1040" t="str">
        <f t="shared" si="9"/>
        <v>061901</v>
      </c>
      <c r="E225" s="1040" t="s">
        <v>559</v>
      </c>
      <c r="F225" s="1040" t="str">
        <f>"035"</f>
        <v>035</v>
      </c>
      <c r="G225" s="1040" t="s">
        <v>1077</v>
      </c>
      <c r="H225" s="1041" t="str">
        <f>"999"</f>
        <v>999</v>
      </c>
      <c r="I225" s="1040" t="s">
        <v>586</v>
      </c>
      <c r="J225" s="1040">
        <v>409760</v>
      </c>
      <c r="K225" s="1040"/>
      <c r="L225" s="1040" t="s">
        <v>561</v>
      </c>
      <c r="M225" s="1041"/>
      <c r="N225" s="1041" t="s">
        <v>576</v>
      </c>
      <c r="O225" s="1041" t="s">
        <v>576</v>
      </c>
      <c r="P225" s="1041" t="s">
        <v>576</v>
      </c>
      <c r="Q225" s="1041" t="s">
        <v>576</v>
      </c>
      <c r="R225" s="1040">
        <v>0</v>
      </c>
      <c r="S225" s="1041">
        <v>0</v>
      </c>
      <c r="T225" s="1042"/>
      <c r="U225" s="1042"/>
      <c r="V225" s="1042"/>
      <c r="W225" s="1042">
        <v>244280</v>
      </c>
      <c r="X225" s="1042"/>
      <c r="Y225" s="1042"/>
      <c r="Z225" s="1040"/>
      <c r="AA225" s="1040"/>
      <c r="AB225" s="1040"/>
      <c r="AC225" s="1040"/>
      <c r="AD225" s="1040"/>
      <c r="AE225" s="1041"/>
      <c r="AF225" s="1040"/>
      <c r="AG225" s="1040">
        <v>0</v>
      </c>
      <c r="AH225" s="1040" t="s">
        <v>1079</v>
      </c>
      <c r="AI225" s="1040" t="s">
        <v>594</v>
      </c>
      <c r="AJ225" s="1040" t="s">
        <v>571</v>
      </c>
      <c r="AK225" s="1041">
        <v>76210</v>
      </c>
      <c r="AL225" s="1040"/>
      <c r="AM225" s="1040"/>
      <c r="AN225" s="1040"/>
      <c r="AO225" s="1040">
        <v>0</v>
      </c>
      <c r="AP225" s="1040">
        <v>409760</v>
      </c>
    </row>
    <row r="226" spans="1:42" x14ac:dyDescent="0.3">
      <c r="A226" s="1040"/>
      <c r="B226" s="1040"/>
      <c r="C226" s="1040"/>
      <c r="D226" s="1040"/>
      <c r="E226" s="1040"/>
      <c r="F226" s="1040"/>
      <c r="G226" s="1040"/>
      <c r="H226" s="1041"/>
      <c r="I226" s="1040"/>
      <c r="J226" s="1040"/>
      <c r="K226" s="1040"/>
      <c r="L226" s="1040"/>
      <c r="M226" s="1041"/>
      <c r="N226" s="1041"/>
      <c r="O226" s="1041"/>
      <c r="P226" s="1041"/>
      <c r="Q226" s="1041"/>
      <c r="R226" s="1040"/>
      <c r="S226" s="1041"/>
      <c r="T226" s="1042"/>
      <c r="U226" s="1042"/>
      <c r="V226" s="1042"/>
      <c r="W226" s="1042"/>
      <c r="X226" s="1042"/>
      <c r="Y226" s="1042"/>
      <c r="Z226" s="1040"/>
      <c r="AA226" s="1040"/>
      <c r="AB226" s="1040"/>
      <c r="AC226" s="1040"/>
      <c r="AD226" s="1040"/>
      <c r="AE226" s="1041"/>
      <c r="AF226" s="1040"/>
      <c r="AG226" s="1040"/>
      <c r="AH226" s="1040"/>
      <c r="AI226" s="1040"/>
      <c r="AJ226" s="1040"/>
      <c r="AK226" s="1041"/>
      <c r="AL226" s="1040"/>
      <c r="AM226" s="1040"/>
      <c r="AN226" s="1040"/>
      <c r="AO226" s="1040"/>
      <c r="AP226" s="1040"/>
    </row>
    <row r="227" spans="1:42" x14ac:dyDescent="0.3">
      <c r="A227" s="1040"/>
      <c r="B227" s="1040"/>
      <c r="C227" s="1040"/>
      <c r="D227" s="1040"/>
      <c r="E227" s="1040"/>
      <c r="F227" s="1040"/>
      <c r="G227" s="1040"/>
      <c r="H227" s="1041"/>
      <c r="I227" s="1044" t="s">
        <v>1083</v>
      </c>
      <c r="J227" s="1040"/>
      <c r="K227" s="1040"/>
      <c r="L227" s="1040"/>
      <c r="M227" s="1041"/>
      <c r="N227" s="1041"/>
      <c r="O227" s="1041"/>
      <c r="P227" s="1041"/>
      <c r="Q227" s="1041"/>
      <c r="R227" s="1040"/>
      <c r="S227" s="1041"/>
      <c r="T227" s="1042"/>
      <c r="U227" s="1042"/>
      <c r="V227" s="1042"/>
      <c r="W227" s="1042"/>
      <c r="X227" s="1042"/>
      <c r="Y227" s="1042"/>
      <c r="Z227" s="1040"/>
      <c r="AA227" s="1040"/>
      <c r="AB227" s="1040"/>
      <c r="AC227" s="1040"/>
      <c r="AD227" s="1040"/>
      <c r="AE227" s="1041"/>
      <c r="AF227" s="1040"/>
      <c r="AG227" s="1040"/>
      <c r="AH227" s="1040"/>
      <c r="AI227" s="1040"/>
      <c r="AJ227" s="1040"/>
      <c r="AK227" s="1041"/>
      <c r="AL227" s="1040"/>
      <c r="AM227" s="1040"/>
      <c r="AN227" s="1040"/>
      <c r="AO227" s="1040"/>
      <c r="AP227" s="1040"/>
    </row>
    <row r="228" spans="1:42" x14ac:dyDescent="0.3">
      <c r="A228" s="1040">
        <v>98</v>
      </c>
      <c r="B228" s="1040">
        <v>75531</v>
      </c>
      <c r="C228" s="1040" t="s">
        <v>558</v>
      </c>
      <c r="D228" s="1040" t="str">
        <f t="shared" si="9"/>
        <v>061901</v>
      </c>
      <c r="E228" s="1040" t="s">
        <v>559</v>
      </c>
      <c r="F228" s="1040" t="str">
        <f t="shared" ref="F228:F233" si="13">"036"</f>
        <v>036</v>
      </c>
      <c r="H228" s="1041" t="str">
        <f>"31A"</f>
        <v>31A</v>
      </c>
      <c r="I228" s="1040" t="s">
        <v>560</v>
      </c>
      <c r="J228" s="1040">
        <v>409530</v>
      </c>
      <c r="K228" s="1045">
        <v>41394</v>
      </c>
      <c r="L228" s="1040" t="s">
        <v>561</v>
      </c>
      <c r="M228" s="1041">
        <v>2003</v>
      </c>
      <c r="N228" s="1041" t="s">
        <v>562</v>
      </c>
      <c r="O228" s="1041" t="s">
        <v>562</v>
      </c>
      <c r="P228" s="1041" t="s">
        <v>562</v>
      </c>
      <c r="Q228" s="1041" t="s">
        <v>562</v>
      </c>
      <c r="R228" s="1040">
        <v>15</v>
      </c>
      <c r="S228" s="1041">
        <v>1</v>
      </c>
      <c r="T228" s="1042">
        <v>80224</v>
      </c>
      <c r="U228" s="1042">
        <v>13326838</v>
      </c>
      <c r="V228" s="1042">
        <v>1961606</v>
      </c>
      <c r="W228" s="1042"/>
      <c r="X228" s="1042">
        <v>166</v>
      </c>
      <c r="Y228" s="1042">
        <v>24</v>
      </c>
      <c r="Z228" s="1040" t="s">
        <v>563</v>
      </c>
      <c r="AA228" s="1040" t="s">
        <v>797</v>
      </c>
      <c r="AB228" s="1040" t="s">
        <v>565</v>
      </c>
      <c r="AC228" s="1040" t="s">
        <v>566</v>
      </c>
      <c r="AD228" s="1040" t="s">
        <v>591</v>
      </c>
      <c r="AE228" s="1041"/>
      <c r="AF228" s="1040" t="s">
        <v>754</v>
      </c>
      <c r="AG228" s="1040">
        <v>0</v>
      </c>
      <c r="AH228" s="1040" t="s">
        <v>1084</v>
      </c>
      <c r="AI228" s="1040" t="s">
        <v>594</v>
      </c>
      <c r="AJ228" s="1040" t="s">
        <v>571</v>
      </c>
      <c r="AK228" s="1041">
        <v>76208</v>
      </c>
      <c r="AL228" s="1040" t="s">
        <v>1085</v>
      </c>
      <c r="AM228" s="1040" t="s">
        <v>1086</v>
      </c>
      <c r="AN228" s="1040" t="s">
        <v>1082</v>
      </c>
      <c r="AO228" s="1040">
        <v>12711450</v>
      </c>
      <c r="AP228" s="1040">
        <v>409530</v>
      </c>
    </row>
    <row r="229" spans="1:42" x14ac:dyDescent="0.3">
      <c r="A229" s="1040">
        <v>98</v>
      </c>
      <c r="B229" s="1040">
        <v>75531</v>
      </c>
      <c r="C229" s="1040" t="s">
        <v>558</v>
      </c>
      <c r="D229" s="1040" t="str">
        <f t="shared" si="9"/>
        <v>061901</v>
      </c>
      <c r="E229" s="1040" t="s">
        <v>559</v>
      </c>
      <c r="F229" s="1040" t="str">
        <f t="shared" si="13"/>
        <v>036</v>
      </c>
      <c r="G229" s="1040" t="s">
        <v>1083</v>
      </c>
      <c r="H229" s="1041" t="str">
        <f>"31B"</f>
        <v>31B</v>
      </c>
      <c r="I229" s="1040" t="s">
        <v>1087</v>
      </c>
      <c r="J229" s="1040">
        <v>409671</v>
      </c>
      <c r="K229" s="1045">
        <v>41394</v>
      </c>
      <c r="L229" s="1040" t="s">
        <v>561</v>
      </c>
      <c r="M229" s="1041">
        <v>2000</v>
      </c>
      <c r="N229" s="1041" t="s">
        <v>576</v>
      </c>
      <c r="O229" s="1041" t="s">
        <v>576</v>
      </c>
      <c r="P229" s="1041" t="s">
        <v>576</v>
      </c>
      <c r="Q229" s="1041" t="s">
        <v>576</v>
      </c>
      <c r="R229" s="1040">
        <v>9</v>
      </c>
      <c r="S229" s="1041">
        <v>1</v>
      </c>
      <c r="T229" s="1042">
        <v>768</v>
      </c>
      <c r="U229" s="1042">
        <v>74931</v>
      </c>
      <c r="V229" s="1042">
        <v>11320</v>
      </c>
      <c r="W229" s="1042"/>
      <c r="X229" s="1042">
        <v>98</v>
      </c>
      <c r="Y229" s="1042">
        <v>15</v>
      </c>
      <c r="Z229" s="1040" t="s">
        <v>577</v>
      </c>
      <c r="AA229" s="1040" t="s">
        <v>578</v>
      </c>
      <c r="AB229" s="1040" t="s">
        <v>579</v>
      </c>
      <c r="AC229" s="1040" t="s">
        <v>580</v>
      </c>
      <c r="AD229" s="1040" t="s">
        <v>581</v>
      </c>
      <c r="AE229" s="1054"/>
      <c r="AF229" s="1040" t="s">
        <v>582</v>
      </c>
      <c r="AG229" s="1040">
        <v>0</v>
      </c>
      <c r="AH229" s="1040" t="s">
        <v>1084</v>
      </c>
      <c r="AI229" s="1040" t="s">
        <v>594</v>
      </c>
      <c r="AJ229" s="1040" t="s">
        <v>571</v>
      </c>
      <c r="AK229" s="1041">
        <v>76208</v>
      </c>
      <c r="AL229" s="1040" t="s">
        <v>1088</v>
      </c>
      <c r="AM229" s="1040" t="s">
        <v>1089</v>
      </c>
      <c r="AN229" s="1040" t="s">
        <v>585</v>
      </c>
      <c r="AO229" s="1040">
        <v>71470</v>
      </c>
      <c r="AP229" s="1040">
        <v>409671</v>
      </c>
    </row>
    <row r="230" spans="1:42" x14ac:dyDescent="0.3">
      <c r="A230" s="1040">
        <v>98</v>
      </c>
      <c r="B230" s="1040">
        <v>75531</v>
      </c>
      <c r="C230" s="1040" t="s">
        <v>558</v>
      </c>
      <c r="D230" s="1040" t="str">
        <f t="shared" si="9"/>
        <v>061901</v>
      </c>
      <c r="E230" s="1040" t="s">
        <v>559</v>
      </c>
      <c r="F230" s="1040" t="str">
        <f t="shared" si="13"/>
        <v>036</v>
      </c>
      <c r="G230" s="1040" t="s">
        <v>1083</v>
      </c>
      <c r="H230" s="1041" t="str">
        <f>"31C"</f>
        <v>31C</v>
      </c>
      <c r="I230" s="1040" t="s">
        <v>1090</v>
      </c>
      <c r="J230" s="1040">
        <v>409672</v>
      </c>
      <c r="K230" s="1045">
        <v>41394</v>
      </c>
      <c r="L230" s="1040" t="s">
        <v>561</v>
      </c>
      <c r="M230" s="1041">
        <v>2000</v>
      </c>
      <c r="N230" s="1041" t="s">
        <v>576</v>
      </c>
      <c r="O230" s="1041" t="s">
        <v>576</v>
      </c>
      <c r="P230" s="1041" t="s">
        <v>576</v>
      </c>
      <c r="Q230" s="1041" t="s">
        <v>576</v>
      </c>
      <c r="R230" s="1040">
        <v>9</v>
      </c>
      <c r="S230" s="1041">
        <v>1</v>
      </c>
      <c r="T230" s="1042">
        <v>768</v>
      </c>
      <c r="U230" s="1042">
        <v>74931</v>
      </c>
      <c r="V230" s="1042">
        <v>11320</v>
      </c>
      <c r="W230" s="1042"/>
      <c r="X230" s="1042">
        <v>98</v>
      </c>
      <c r="Y230" s="1042">
        <v>15</v>
      </c>
      <c r="Z230" s="1040" t="s">
        <v>577</v>
      </c>
      <c r="AA230" s="1040" t="s">
        <v>578</v>
      </c>
      <c r="AB230" s="1040" t="s">
        <v>579</v>
      </c>
      <c r="AC230" s="1040" t="s">
        <v>580</v>
      </c>
      <c r="AD230" s="1040" t="s">
        <v>581</v>
      </c>
      <c r="AE230" s="1054"/>
      <c r="AF230" s="1040" t="s">
        <v>582</v>
      </c>
      <c r="AG230" s="1040">
        <v>0</v>
      </c>
      <c r="AH230" s="1040" t="s">
        <v>1084</v>
      </c>
      <c r="AI230" s="1040" t="s">
        <v>594</v>
      </c>
      <c r="AJ230" s="1040" t="s">
        <v>571</v>
      </c>
      <c r="AK230" s="1041">
        <v>76208</v>
      </c>
      <c r="AL230" s="1040" t="s">
        <v>1091</v>
      </c>
      <c r="AM230" s="1040" t="s">
        <v>1092</v>
      </c>
      <c r="AN230" s="1040" t="s">
        <v>585</v>
      </c>
      <c r="AO230" s="1040">
        <v>71470</v>
      </c>
      <c r="AP230" s="1040">
        <v>409672</v>
      </c>
    </row>
    <row r="231" spans="1:42" x14ac:dyDescent="0.3">
      <c r="A231" s="1040">
        <v>98</v>
      </c>
      <c r="B231" s="1040">
        <v>75531</v>
      </c>
      <c r="C231" s="1040" t="s">
        <v>558</v>
      </c>
      <c r="D231" s="1040" t="str">
        <f t="shared" si="9"/>
        <v>061901</v>
      </c>
      <c r="E231" s="1040" t="s">
        <v>559</v>
      </c>
      <c r="F231" s="1040" t="str">
        <f t="shared" si="13"/>
        <v>036</v>
      </c>
      <c r="G231" s="1040" t="s">
        <v>1083</v>
      </c>
      <c r="H231" s="1041" t="str">
        <f>"31D"</f>
        <v>31D</v>
      </c>
      <c r="I231" s="1040" t="s">
        <v>1093</v>
      </c>
      <c r="J231" s="1040">
        <v>409673</v>
      </c>
      <c r="K231" s="1045">
        <v>41394</v>
      </c>
      <c r="L231" s="1040" t="s">
        <v>561</v>
      </c>
      <c r="M231" s="1041">
        <v>2000</v>
      </c>
      <c r="N231" s="1041" t="s">
        <v>576</v>
      </c>
      <c r="O231" s="1041" t="s">
        <v>576</v>
      </c>
      <c r="P231" s="1041" t="s">
        <v>576</v>
      </c>
      <c r="Q231" s="1041" t="s">
        <v>576</v>
      </c>
      <c r="R231" s="1040">
        <v>9</v>
      </c>
      <c r="S231" s="1041">
        <v>1</v>
      </c>
      <c r="T231" s="1042">
        <v>768</v>
      </c>
      <c r="U231" s="1042">
        <v>74931</v>
      </c>
      <c r="V231" s="1042">
        <v>11320</v>
      </c>
      <c r="W231" s="1042"/>
      <c r="X231" s="1042">
        <v>98</v>
      </c>
      <c r="Y231" s="1042">
        <v>15</v>
      </c>
      <c r="Z231" s="1040" t="s">
        <v>577</v>
      </c>
      <c r="AA231" s="1040" t="s">
        <v>578</v>
      </c>
      <c r="AB231" s="1040" t="s">
        <v>579</v>
      </c>
      <c r="AC231" s="1040" t="s">
        <v>580</v>
      </c>
      <c r="AD231" s="1040" t="s">
        <v>581</v>
      </c>
      <c r="AE231" s="1054"/>
      <c r="AF231" s="1040" t="s">
        <v>582</v>
      </c>
      <c r="AG231" s="1040">
        <v>0</v>
      </c>
      <c r="AH231" s="1040" t="s">
        <v>1084</v>
      </c>
      <c r="AI231" s="1040" t="s">
        <v>594</v>
      </c>
      <c r="AJ231" s="1040" t="s">
        <v>571</v>
      </c>
      <c r="AK231" s="1041">
        <v>76208</v>
      </c>
      <c r="AL231" s="1040" t="s">
        <v>1094</v>
      </c>
      <c r="AM231" s="1040" t="s">
        <v>1095</v>
      </c>
      <c r="AN231" s="1040" t="s">
        <v>585</v>
      </c>
      <c r="AO231" s="1040">
        <v>71470</v>
      </c>
      <c r="AP231" s="1040">
        <v>409673</v>
      </c>
    </row>
    <row r="232" spans="1:42" x14ac:dyDescent="0.3">
      <c r="A232" s="1040">
        <v>98</v>
      </c>
      <c r="B232" s="1040">
        <v>75531</v>
      </c>
      <c r="C232" s="1040" t="s">
        <v>558</v>
      </c>
      <c r="D232" s="1040" t="str">
        <f t="shared" si="9"/>
        <v>061901</v>
      </c>
      <c r="E232" s="1040" t="s">
        <v>559</v>
      </c>
      <c r="F232" s="1040" t="str">
        <f t="shared" si="13"/>
        <v>036</v>
      </c>
      <c r="G232" s="1040" t="s">
        <v>1083</v>
      </c>
      <c r="H232" s="1041" t="str">
        <f>"31E"</f>
        <v>31E</v>
      </c>
      <c r="I232" s="1040" t="s">
        <v>783</v>
      </c>
      <c r="J232" s="1040">
        <v>409674</v>
      </c>
      <c r="K232" s="1045">
        <v>41394</v>
      </c>
      <c r="L232" s="1040" t="s">
        <v>561</v>
      </c>
      <c r="M232" s="1041">
        <v>2009</v>
      </c>
      <c r="N232" s="1041" t="s">
        <v>576</v>
      </c>
      <c r="O232" s="1041" t="s">
        <v>576</v>
      </c>
      <c r="P232" s="1041" t="s">
        <v>576</v>
      </c>
      <c r="Q232" s="1041" t="s">
        <v>576</v>
      </c>
      <c r="R232" s="1040">
        <v>8</v>
      </c>
      <c r="S232" s="1041">
        <v>1</v>
      </c>
      <c r="T232" s="1042">
        <v>64</v>
      </c>
      <c r="U232" s="1042">
        <v>1068</v>
      </c>
      <c r="V232" s="1042">
        <v>1020</v>
      </c>
      <c r="W232" s="1042"/>
      <c r="X232" s="1042">
        <v>17</v>
      </c>
      <c r="Y232" s="1042">
        <v>16</v>
      </c>
      <c r="Z232" s="1040" t="s">
        <v>577</v>
      </c>
      <c r="AA232" s="1040" t="s">
        <v>615</v>
      </c>
      <c r="AB232" s="1040" t="s">
        <v>579</v>
      </c>
      <c r="AC232" s="1040" t="s">
        <v>580</v>
      </c>
      <c r="AD232" s="1040" t="s">
        <v>616</v>
      </c>
      <c r="AE232" s="1041"/>
      <c r="AF232" s="1040" t="s">
        <v>582</v>
      </c>
      <c r="AG232" s="1040">
        <v>0</v>
      </c>
      <c r="AH232" s="1040" t="s">
        <v>1084</v>
      </c>
      <c r="AI232" s="1040" t="s">
        <v>594</v>
      </c>
      <c r="AJ232" s="1040" t="s">
        <v>571</v>
      </c>
      <c r="AK232" s="1041">
        <v>76208</v>
      </c>
      <c r="AL232" s="1040" t="s">
        <v>1096</v>
      </c>
      <c r="AM232" s="1040" t="s">
        <v>1086</v>
      </c>
      <c r="AN232" s="1040"/>
      <c r="AO232" s="1040">
        <v>1021</v>
      </c>
      <c r="AP232" s="1040">
        <v>409674</v>
      </c>
    </row>
    <row r="233" spans="1:42" x14ac:dyDescent="0.3">
      <c r="A233" s="1040">
        <v>98</v>
      </c>
      <c r="B233" s="1040">
        <v>75531</v>
      </c>
      <c r="C233" s="1040" t="s">
        <v>558</v>
      </c>
      <c r="D233" s="1040" t="str">
        <f t="shared" si="9"/>
        <v>061901</v>
      </c>
      <c r="E233" s="1040" t="s">
        <v>559</v>
      </c>
      <c r="F233" s="1040" t="str">
        <f t="shared" si="13"/>
        <v>036</v>
      </c>
      <c r="G233" s="1040" t="s">
        <v>1083</v>
      </c>
      <c r="H233" s="1041" t="str">
        <f>"999"</f>
        <v>999</v>
      </c>
      <c r="I233" s="1040" t="s">
        <v>586</v>
      </c>
      <c r="J233" s="1040">
        <v>409758</v>
      </c>
      <c r="K233" s="1040"/>
      <c r="L233" s="1040" t="s">
        <v>561</v>
      </c>
      <c r="M233" s="1041"/>
      <c r="N233" s="1041" t="s">
        <v>576</v>
      </c>
      <c r="O233" s="1041" t="s">
        <v>576</v>
      </c>
      <c r="P233" s="1041" t="s">
        <v>576</v>
      </c>
      <c r="Q233" s="1041" t="s">
        <v>576</v>
      </c>
      <c r="R233" s="1040">
        <v>0</v>
      </c>
      <c r="S233" s="1041">
        <v>0</v>
      </c>
      <c r="T233" s="1042"/>
      <c r="U233" s="1042"/>
      <c r="V233" s="1042"/>
      <c r="W233" s="1042">
        <v>228553</v>
      </c>
      <c r="X233" s="1042"/>
      <c r="Y233" s="1042"/>
      <c r="Z233" s="1040"/>
      <c r="AA233" s="1040"/>
      <c r="AB233" s="1040"/>
      <c r="AC233" s="1040"/>
      <c r="AD233" s="1040"/>
      <c r="AE233" s="1041"/>
      <c r="AF233" s="1040"/>
      <c r="AG233" s="1040">
        <v>0</v>
      </c>
      <c r="AH233" s="1040" t="s">
        <v>1084</v>
      </c>
      <c r="AI233" s="1040" t="s">
        <v>594</v>
      </c>
      <c r="AJ233" s="1040" t="s">
        <v>571</v>
      </c>
      <c r="AK233" s="1041">
        <v>76208</v>
      </c>
      <c r="AL233" s="1040"/>
      <c r="AM233" s="1040"/>
      <c r="AN233" s="1040"/>
      <c r="AO233" s="1040">
        <v>0</v>
      </c>
      <c r="AP233" s="1040">
        <v>409758</v>
      </c>
    </row>
    <row r="234" spans="1:42" s="1059" customFormat="1" x14ac:dyDescent="0.3">
      <c r="A234" s="1056"/>
      <c r="B234" s="1056"/>
      <c r="C234" s="1056"/>
      <c r="D234" s="1056"/>
      <c r="E234" s="1056"/>
      <c r="F234" s="1056"/>
      <c r="G234" s="1056"/>
      <c r="H234" s="1057"/>
      <c r="I234" s="1056"/>
      <c r="J234" s="1056"/>
      <c r="K234" s="1056"/>
      <c r="L234" s="1056"/>
      <c r="M234" s="1057"/>
      <c r="N234" s="1057"/>
      <c r="O234" s="1057"/>
      <c r="P234" s="1057"/>
      <c r="Q234" s="1057"/>
      <c r="R234" s="1056"/>
      <c r="S234" s="1057"/>
      <c r="T234" s="1058"/>
      <c r="U234" s="1058"/>
      <c r="V234" s="1058"/>
      <c r="W234" s="1058"/>
      <c r="X234" s="1058"/>
      <c r="Y234" s="1058"/>
      <c r="Z234" s="1056"/>
      <c r="AA234" s="1056"/>
      <c r="AB234" s="1056"/>
      <c r="AC234" s="1056"/>
      <c r="AD234" s="1056"/>
      <c r="AE234" s="1057"/>
      <c r="AF234" s="1056"/>
      <c r="AG234" s="1056"/>
      <c r="AH234" s="1056"/>
      <c r="AI234" s="1056"/>
      <c r="AJ234" s="1056"/>
      <c r="AK234" s="1057"/>
      <c r="AL234" s="1056"/>
      <c r="AM234" s="1056"/>
      <c r="AN234" s="1056"/>
      <c r="AO234" s="1056"/>
      <c r="AP234" s="1056"/>
    </row>
    <row r="235" spans="1:42" s="1059" customFormat="1" x14ac:dyDescent="0.3">
      <c r="A235" s="1060"/>
      <c r="B235" s="1060"/>
      <c r="C235" s="1060"/>
      <c r="D235" s="1060"/>
      <c r="E235" s="1060"/>
      <c r="F235" s="1060"/>
      <c r="G235" s="1060"/>
      <c r="H235" s="1061"/>
      <c r="I235" s="1062" t="s">
        <v>1097</v>
      </c>
      <c r="J235" s="1060"/>
      <c r="K235" s="1060"/>
      <c r="L235" s="1060"/>
      <c r="M235" s="1061"/>
      <c r="N235" s="1061"/>
      <c r="O235" s="1061"/>
      <c r="P235" s="1061"/>
      <c r="Q235" s="1061"/>
      <c r="R235" s="1060"/>
      <c r="S235" s="1061"/>
      <c r="T235" s="1063"/>
      <c r="U235" s="1063"/>
      <c r="V235" s="1063"/>
      <c r="W235" s="1063"/>
      <c r="X235" s="1063"/>
      <c r="Y235" s="1063"/>
      <c r="Z235" s="1060"/>
      <c r="AA235" s="1060"/>
      <c r="AB235" s="1060"/>
      <c r="AC235" s="1060"/>
      <c r="AD235" s="1060"/>
      <c r="AE235" s="1061"/>
      <c r="AF235" s="1060"/>
      <c r="AG235" s="1060"/>
      <c r="AH235" s="1060"/>
      <c r="AI235" s="1060"/>
      <c r="AJ235" s="1060"/>
      <c r="AK235" s="1061"/>
      <c r="AL235" s="1060"/>
      <c r="AM235" s="1060"/>
      <c r="AN235" s="1060"/>
      <c r="AO235" s="1060"/>
      <c r="AP235" s="1060"/>
    </row>
    <row r="236" spans="1:42" x14ac:dyDescent="0.3">
      <c r="A236" s="1040">
        <v>98</v>
      </c>
      <c r="B236" s="1040">
        <v>75531</v>
      </c>
      <c r="C236" s="1040" t="s">
        <v>558</v>
      </c>
      <c r="D236" s="1040" t="str">
        <f t="shared" si="9"/>
        <v>061901</v>
      </c>
      <c r="E236" s="1040" t="s">
        <v>559</v>
      </c>
      <c r="F236" s="1040" t="str">
        <f>"037"</f>
        <v>037</v>
      </c>
      <c r="H236" s="1041" t="str">
        <f>"21A"</f>
        <v>21A</v>
      </c>
      <c r="I236" s="1040" t="s">
        <v>1098</v>
      </c>
      <c r="J236" s="1040">
        <v>409575</v>
      </c>
      <c r="K236" s="1045">
        <v>41404</v>
      </c>
      <c r="L236" s="1040" t="s">
        <v>561</v>
      </c>
      <c r="M236" s="1041">
        <v>1996</v>
      </c>
      <c r="N236" s="1041" t="s">
        <v>562</v>
      </c>
      <c r="O236" s="1041" t="s">
        <v>562</v>
      </c>
      <c r="P236" s="1041" t="s">
        <v>562</v>
      </c>
      <c r="Q236" s="1041" t="s">
        <v>576</v>
      </c>
      <c r="R236" s="1040">
        <v>16</v>
      </c>
      <c r="S236" s="1041">
        <v>1</v>
      </c>
      <c r="T236" s="1042">
        <v>13222</v>
      </c>
      <c r="U236" s="1042">
        <v>1152205</v>
      </c>
      <c r="V236" s="1042">
        <v>241196</v>
      </c>
      <c r="W236" s="1042"/>
      <c r="X236" s="1042">
        <v>87</v>
      </c>
      <c r="Y236" s="1042">
        <v>18</v>
      </c>
      <c r="Z236" s="1040" t="s">
        <v>1099</v>
      </c>
      <c r="AA236" s="1040" t="s">
        <v>1100</v>
      </c>
      <c r="AB236" s="1040" t="s">
        <v>1101</v>
      </c>
      <c r="AC236" s="1040" t="s">
        <v>1102</v>
      </c>
      <c r="AD236" s="1040" t="s">
        <v>581</v>
      </c>
      <c r="AE236" s="1054"/>
      <c r="AF236" s="1040" t="s">
        <v>582</v>
      </c>
      <c r="AG236" s="1040">
        <v>0</v>
      </c>
      <c r="AH236" s="1040" t="s">
        <v>1103</v>
      </c>
      <c r="AI236" s="1040" t="s">
        <v>594</v>
      </c>
      <c r="AJ236" s="1040" t="s">
        <v>571</v>
      </c>
      <c r="AK236" s="1041">
        <v>76208</v>
      </c>
      <c r="AL236" s="1040" t="s">
        <v>1104</v>
      </c>
      <c r="AM236" s="1040" t="s">
        <v>1105</v>
      </c>
      <c r="AN236" s="1040" t="s">
        <v>1106</v>
      </c>
      <c r="AO236" s="1040">
        <v>1099000</v>
      </c>
      <c r="AP236" s="1040">
        <v>409575</v>
      </c>
    </row>
    <row r="237" spans="1:42" x14ac:dyDescent="0.3">
      <c r="A237" s="1040">
        <v>98</v>
      </c>
      <c r="B237" s="1040">
        <v>75531</v>
      </c>
      <c r="C237" s="1040" t="s">
        <v>558</v>
      </c>
      <c r="D237" s="1040" t="str">
        <f t="shared" si="9"/>
        <v>061901</v>
      </c>
      <c r="E237" s="1040" t="s">
        <v>559</v>
      </c>
      <c r="F237" s="1040" t="str">
        <f>"037"</f>
        <v>037</v>
      </c>
      <c r="G237" s="1040" t="s">
        <v>1097</v>
      </c>
      <c r="H237" s="1041" t="str">
        <f>"21B"</f>
        <v>21B</v>
      </c>
      <c r="I237" s="1040" t="s">
        <v>1107</v>
      </c>
      <c r="J237" s="1040">
        <v>409675</v>
      </c>
      <c r="K237" s="1045">
        <v>41404</v>
      </c>
      <c r="L237" s="1040" t="s">
        <v>561</v>
      </c>
      <c r="M237" s="1041">
        <v>2000</v>
      </c>
      <c r="N237" s="1041" t="s">
        <v>576</v>
      </c>
      <c r="O237" s="1041" t="s">
        <v>576</v>
      </c>
      <c r="P237" s="1041" t="s">
        <v>576</v>
      </c>
      <c r="Q237" s="1041" t="s">
        <v>576</v>
      </c>
      <c r="R237" s="1040">
        <v>9</v>
      </c>
      <c r="S237" s="1041">
        <v>1</v>
      </c>
      <c r="T237" s="1042">
        <v>1536</v>
      </c>
      <c r="U237" s="1042">
        <v>150971</v>
      </c>
      <c r="V237" s="1042">
        <v>22484</v>
      </c>
      <c r="W237" s="1042"/>
      <c r="X237" s="1042">
        <v>98</v>
      </c>
      <c r="Y237" s="1042">
        <v>15</v>
      </c>
      <c r="Z237" s="1040" t="s">
        <v>577</v>
      </c>
      <c r="AA237" s="1040" t="s">
        <v>578</v>
      </c>
      <c r="AB237" s="1040" t="s">
        <v>579</v>
      </c>
      <c r="AC237" s="1040" t="s">
        <v>580</v>
      </c>
      <c r="AD237" s="1040" t="s">
        <v>581</v>
      </c>
      <c r="AE237" s="1054"/>
      <c r="AF237" s="1040" t="s">
        <v>582</v>
      </c>
      <c r="AG237" s="1040">
        <v>0</v>
      </c>
      <c r="AH237" s="1040" t="s">
        <v>1103</v>
      </c>
      <c r="AI237" s="1040" t="s">
        <v>594</v>
      </c>
      <c r="AJ237" s="1040" t="s">
        <v>571</v>
      </c>
      <c r="AK237" s="1041">
        <v>76208</v>
      </c>
      <c r="AL237" s="1040" t="s">
        <v>1108</v>
      </c>
      <c r="AM237" s="1040" t="s">
        <v>1109</v>
      </c>
      <c r="AN237" s="1040" t="s">
        <v>1110</v>
      </c>
      <c r="AO237" s="1040">
        <v>144000</v>
      </c>
      <c r="AP237" s="1040">
        <v>409675</v>
      </c>
    </row>
    <row r="238" spans="1:42" x14ac:dyDescent="0.3">
      <c r="A238" s="1040">
        <v>98</v>
      </c>
      <c r="B238" s="1040">
        <v>75531</v>
      </c>
      <c r="C238" s="1040" t="s">
        <v>558</v>
      </c>
      <c r="D238" s="1040" t="str">
        <f t="shared" si="9"/>
        <v>061901</v>
      </c>
      <c r="E238" s="1040" t="s">
        <v>559</v>
      </c>
      <c r="F238" s="1040" t="str">
        <f>"037"</f>
        <v>037</v>
      </c>
      <c r="G238" s="1040" t="s">
        <v>1097</v>
      </c>
      <c r="H238" s="1041" t="str">
        <f>"999"</f>
        <v>999</v>
      </c>
      <c r="I238" s="1040" t="s">
        <v>586</v>
      </c>
      <c r="J238" s="1040">
        <v>409783</v>
      </c>
      <c r="K238" s="1040"/>
      <c r="L238" s="1040" t="s">
        <v>561</v>
      </c>
      <c r="M238" s="1041"/>
      <c r="N238" s="1041" t="s">
        <v>576</v>
      </c>
      <c r="O238" s="1041" t="s">
        <v>576</v>
      </c>
      <c r="P238" s="1041" t="s">
        <v>576</v>
      </c>
      <c r="Q238" s="1041" t="s">
        <v>576</v>
      </c>
      <c r="R238" s="1040">
        <v>0</v>
      </c>
      <c r="S238" s="1041">
        <v>0</v>
      </c>
      <c r="T238" s="1042"/>
      <c r="U238" s="1042"/>
      <c r="V238" s="1042"/>
      <c r="W238" s="1042">
        <v>49275</v>
      </c>
      <c r="X238" s="1042"/>
      <c r="Y238" s="1042"/>
      <c r="Z238" s="1040"/>
      <c r="AA238" s="1040"/>
      <c r="AB238" s="1040"/>
      <c r="AC238" s="1040"/>
      <c r="AD238" s="1040"/>
      <c r="AE238" s="1041"/>
      <c r="AF238" s="1040"/>
      <c r="AG238" s="1040">
        <v>0</v>
      </c>
      <c r="AH238" s="1040" t="s">
        <v>1103</v>
      </c>
      <c r="AI238" s="1040" t="s">
        <v>594</v>
      </c>
      <c r="AJ238" s="1040" t="s">
        <v>571</v>
      </c>
      <c r="AK238" s="1041">
        <v>76208</v>
      </c>
      <c r="AL238" s="1040"/>
      <c r="AM238" s="1040"/>
      <c r="AN238" s="1040"/>
      <c r="AO238" s="1040">
        <v>0</v>
      </c>
      <c r="AP238" s="1040">
        <v>409783</v>
      </c>
    </row>
    <row r="239" spans="1:42" s="1059" customFormat="1" x14ac:dyDescent="0.3">
      <c r="A239" s="1056"/>
      <c r="B239" s="1056"/>
      <c r="C239" s="1056"/>
      <c r="D239" s="1056"/>
      <c r="E239" s="1056"/>
      <c r="F239" s="1056"/>
      <c r="G239" s="1056"/>
      <c r="H239" s="1057"/>
      <c r="I239" s="1056"/>
      <c r="J239" s="1056"/>
      <c r="K239" s="1056"/>
      <c r="L239" s="1056"/>
      <c r="M239" s="1057"/>
      <c r="N239" s="1057"/>
      <c r="O239" s="1057"/>
      <c r="P239" s="1057"/>
      <c r="Q239" s="1057"/>
      <c r="R239" s="1056"/>
      <c r="S239" s="1057"/>
      <c r="T239" s="1058"/>
      <c r="U239" s="1058"/>
      <c r="V239" s="1058"/>
      <c r="W239" s="1058"/>
      <c r="X239" s="1058"/>
      <c r="Y239" s="1058"/>
      <c r="Z239" s="1056"/>
      <c r="AA239" s="1056"/>
      <c r="AB239" s="1056"/>
      <c r="AC239" s="1056"/>
      <c r="AD239" s="1056"/>
      <c r="AE239" s="1057"/>
      <c r="AF239" s="1056"/>
      <c r="AG239" s="1056"/>
      <c r="AH239" s="1056"/>
      <c r="AI239" s="1056"/>
      <c r="AJ239" s="1056"/>
      <c r="AK239" s="1057"/>
      <c r="AL239" s="1056"/>
      <c r="AM239" s="1056"/>
      <c r="AN239" s="1056"/>
      <c r="AO239" s="1056"/>
      <c r="AP239" s="1056"/>
    </row>
    <row r="240" spans="1:42" s="1059" customFormat="1" x14ac:dyDescent="0.3">
      <c r="A240" s="1060"/>
      <c r="B240" s="1060"/>
      <c r="C240" s="1060"/>
      <c r="D240" s="1060"/>
      <c r="E240" s="1060"/>
      <c r="F240" s="1060"/>
      <c r="G240" s="1060"/>
      <c r="H240" s="1061"/>
      <c r="I240" s="1062" t="s">
        <v>1111</v>
      </c>
      <c r="J240" s="1060"/>
      <c r="K240" s="1060"/>
      <c r="L240" s="1060"/>
      <c r="M240" s="1061"/>
      <c r="N240" s="1061"/>
      <c r="O240" s="1061"/>
      <c r="P240" s="1061"/>
      <c r="Q240" s="1061"/>
      <c r="R240" s="1060"/>
      <c r="S240" s="1061"/>
      <c r="T240" s="1063"/>
      <c r="U240" s="1063"/>
      <c r="V240" s="1063"/>
      <c r="W240" s="1063"/>
      <c r="X240" s="1063"/>
      <c r="Y240" s="1063"/>
      <c r="Z240" s="1060"/>
      <c r="AA240" s="1060"/>
      <c r="AB240" s="1060"/>
      <c r="AC240" s="1060"/>
      <c r="AD240" s="1060"/>
      <c r="AE240" s="1061"/>
      <c r="AF240" s="1060"/>
      <c r="AG240" s="1060"/>
      <c r="AH240" s="1060"/>
      <c r="AI240" s="1060"/>
      <c r="AJ240" s="1060"/>
      <c r="AK240" s="1061"/>
      <c r="AL240" s="1060"/>
      <c r="AM240" s="1060"/>
      <c r="AN240" s="1060"/>
      <c r="AO240" s="1060"/>
      <c r="AP240" s="1060"/>
    </row>
    <row r="241" spans="1:42" x14ac:dyDescent="0.3">
      <c r="A241" s="1040">
        <v>98</v>
      </c>
      <c r="B241" s="1040">
        <v>75531</v>
      </c>
      <c r="C241" s="1040" t="s">
        <v>558</v>
      </c>
      <c r="D241" s="1040" t="str">
        <f t="shared" si="9"/>
        <v>061901</v>
      </c>
      <c r="E241" s="1040" t="s">
        <v>559</v>
      </c>
      <c r="F241" s="1040" t="str">
        <f t="shared" ref="F241:F282" si="14">"038"</f>
        <v>038</v>
      </c>
      <c r="H241" s="1041" t="str">
        <f>"18A"</f>
        <v>18A</v>
      </c>
      <c r="I241" s="1040" t="s">
        <v>589</v>
      </c>
      <c r="J241" s="1040">
        <v>409552</v>
      </c>
      <c r="K241" s="1045">
        <v>41407</v>
      </c>
      <c r="L241" s="1040" t="s">
        <v>561</v>
      </c>
      <c r="M241" s="1041">
        <v>1991</v>
      </c>
      <c r="N241" s="1041" t="s">
        <v>562</v>
      </c>
      <c r="O241" s="1041" t="s">
        <v>562</v>
      </c>
      <c r="P241" s="1041" t="s">
        <v>562</v>
      </c>
      <c r="Q241" s="1041" t="s">
        <v>562</v>
      </c>
      <c r="R241" s="1040">
        <v>17</v>
      </c>
      <c r="S241" s="1041">
        <v>2</v>
      </c>
      <c r="T241" s="1042">
        <v>392566</v>
      </c>
      <c r="U241" s="1042">
        <v>64852682</v>
      </c>
      <c r="V241" s="1042">
        <v>9461862</v>
      </c>
      <c r="W241" s="1042"/>
      <c r="X241" s="1042">
        <v>165</v>
      </c>
      <c r="Y241" s="1042">
        <v>24</v>
      </c>
      <c r="Z241" s="1040" t="s">
        <v>563</v>
      </c>
      <c r="AA241" s="1040" t="s">
        <v>693</v>
      </c>
      <c r="AB241" s="1040" t="s">
        <v>565</v>
      </c>
      <c r="AC241" s="1040" t="s">
        <v>566</v>
      </c>
      <c r="AD241" s="1040" t="s">
        <v>1112</v>
      </c>
      <c r="AE241" s="1055"/>
      <c r="AF241" s="1040" t="s">
        <v>947</v>
      </c>
      <c r="AG241" s="1040">
        <v>1</v>
      </c>
      <c r="AH241" s="1040" t="s">
        <v>1113</v>
      </c>
      <c r="AI241" s="1040" t="s">
        <v>594</v>
      </c>
      <c r="AJ241" s="1040" t="s">
        <v>571</v>
      </c>
      <c r="AK241" s="1041">
        <v>76208</v>
      </c>
      <c r="AL241" s="1040" t="s">
        <v>1114</v>
      </c>
      <c r="AM241" s="1040" t="s">
        <v>1115</v>
      </c>
      <c r="AN241" s="1040" t="s">
        <v>1116</v>
      </c>
      <c r="AO241" s="1040">
        <v>61858000</v>
      </c>
      <c r="AP241" s="1040">
        <v>409552</v>
      </c>
    </row>
    <row r="242" spans="1:42" x14ac:dyDescent="0.3">
      <c r="A242" s="1040">
        <v>98</v>
      </c>
      <c r="B242" s="1040">
        <v>75531</v>
      </c>
      <c r="C242" s="1040" t="s">
        <v>558</v>
      </c>
      <c r="D242" s="1040" t="str">
        <f t="shared" si="9"/>
        <v>061901</v>
      </c>
      <c r="E242" s="1040" t="s">
        <v>559</v>
      </c>
      <c r="F242" s="1040" t="str">
        <f t="shared" si="14"/>
        <v>038</v>
      </c>
      <c r="G242" s="1040" t="s">
        <v>1111</v>
      </c>
      <c r="H242" s="1041" t="str">
        <f>"18AA"</f>
        <v>18AA</v>
      </c>
      <c r="I242" s="1040" t="s">
        <v>1117</v>
      </c>
      <c r="J242" s="1040">
        <v>409677</v>
      </c>
      <c r="K242" s="1045">
        <v>41407</v>
      </c>
      <c r="L242" s="1040" t="s">
        <v>561</v>
      </c>
      <c r="M242" s="1041">
        <v>2009</v>
      </c>
      <c r="N242" s="1041" t="s">
        <v>576</v>
      </c>
      <c r="O242" s="1041" t="s">
        <v>576</v>
      </c>
      <c r="P242" s="1041" t="s">
        <v>576</v>
      </c>
      <c r="Q242" s="1041" t="s">
        <v>576</v>
      </c>
      <c r="R242" s="1040">
        <v>10</v>
      </c>
      <c r="S242" s="1041">
        <v>1</v>
      </c>
      <c r="T242" s="1042">
        <v>512</v>
      </c>
      <c r="U242" s="1042">
        <v>20969</v>
      </c>
      <c r="V242" s="1042">
        <v>13287</v>
      </c>
      <c r="W242" s="1042"/>
      <c r="X242" s="1042">
        <v>41</v>
      </c>
      <c r="Y242" s="1042">
        <v>26</v>
      </c>
      <c r="Z242" s="1040" t="s">
        <v>611</v>
      </c>
      <c r="AA242" s="1040" t="s">
        <v>612</v>
      </c>
      <c r="AB242" s="1040" t="s">
        <v>606</v>
      </c>
      <c r="AC242" s="1040" t="s">
        <v>606</v>
      </c>
      <c r="AD242" s="1040" t="s">
        <v>581</v>
      </c>
      <c r="AE242" s="1054"/>
      <c r="AF242" s="1040" t="s">
        <v>582</v>
      </c>
      <c r="AG242" s="1040">
        <v>0</v>
      </c>
      <c r="AH242" s="1040" t="s">
        <v>1113</v>
      </c>
      <c r="AI242" s="1040" t="s">
        <v>594</v>
      </c>
      <c r="AJ242" s="1040" t="s">
        <v>571</v>
      </c>
      <c r="AK242" s="1041">
        <v>76208</v>
      </c>
      <c r="AL242" s="1040" t="s">
        <v>1118</v>
      </c>
      <c r="AM242" s="1040" t="s">
        <v>1119</v>
      </c>
      <c r="AN242" s="1040"/>
      <c r="AO242" s="1040">
        <v>20000</v>
      </c>
      <c r="AP242" s="1040">
        <v>409677</v>
      </c>
    </row>
    <row r="243" spans="1:42" x14ac:dyDescent="0.3">
      <c r="A243" s="1040">
        <v>98</v>
      </c>
      <c r="B243" s="1040">
        <v>75531</v>
      </c>
      <c r="C243" s="1040" t="s">
        <v>558</v>
      </c>
      <c r="D243" s="1040" t="str">
        <f t="shared" si="9"/>
        <v>061901</v>
      </c>
      <c r="E243" s="1040" t="s">
        <v>559</v>
      </c>
      <c r="F243" s="1040" t="str">
        <f t="shared" si="14"/>
        <v>038</v>
      </c>
      <c r="G243" s="1040" t="s">
        <v>1111</v>
      </c>
      <c r="H243" s="1041" t="str">
        <f>"18AB"</f>
        <v>18AB</v>
      </c>
      <c r="I243" s="1040" t="s">
        <v>1120</v>
      </c>
      <c r="J243" s="1040">
        <v>409678</v>
      </c>
      <c r="K243" s="1045">
        <v>41407</v>
      </c>
      <c r="L243" s="1040" t="s">
        <v>561</v>
      </c>
      <c r="M243" s="1041">
        <v>1991</v>
      </c>
      <c r="N243" s="1041" t="s">
        <v>576</v>
      </c>
      <c r="O243" s="1041" t="s">
        <v>576</v>
      </c>
      <c r="P243" s="1041" t="s">
        <v>576</v>
      </c>
      <c r="Q243" s="1041" t="s">
        <v>576</v>
      </c>
      <c r="R243" s="1040">
        <v>6</v>
      </c>
      <c r="S243" s="1041">
        <v>1</v>
      </c>
      <c r="T243" s="1042">
        <v>48</v>
      </c>
      <c r="U243" s="1042">
        <v>1046</v>
      </c>
      <c r="V243" s="1042">
        <v>1013</v>
      </c>
      <c r="W243" s="1042"/>
      <c r="X243" s="1042">
        <v>22</v>
      </c>
      <c r="Y243" s="1042">
        <v>21</v>
      </c>
      <c r="Z243" s="1040" t="s">
        <v>577</v>
      </c>
      <c r="AA243" s="1040" t="s">
        <v>578</v>
      </c>
      <c r="AB243" s="1040" t="s">
        <v>606</v>
      </c>
      <c r="AC243" s="1040" t="s">
        <v>606</v>
      </c>
      <c r="AD243" s="1040" t="s">
        <v>581</v>
      </c>
      <c r="AE243" s="1054"/>
      <c r="AF243" s="1040" t="s">
        <v>582</v>
      </c>
      <c r="AG243" s="1040">
        <v>0</v>
      </c>
      <c r="AH243" s="1040" t="s">
        <v>1113</v>
      </c>
      <c r="AI243" s="1040" t="s">
        <v>594</v>
      </c>
      <c r="AJ243" s="1040" t="s">
        <v>571</v>
      </c>
      <c r="AK243" s="1041">
        <v>76208</v>
      </c>
      <c r="AL243" s="1040" t="s">
        <v>1121</v>
      </c>
      <c r="AM243" s="1040" t="s">
        <v>1122</v>
      </c>
      <c r="AN243" s="1040"/>
      <c r="AO243" s="1040">
        <v>1000</v>
      </c>
      <c r="AP243" s="1040">
        <v>409678</v>
      </c>
    </row>
    <row r="244" spans="1:42" x14ac:dyDescent="0.3">
      <c r="A244" s="1040">
        <v>98</v>
      </c>
      <c r="B244" s="1040">
        <v>75531</v>
      </c>
      <c r="C244" s="1040" t="s">
        <v>558</v>
      </c>
      <c r="D244" s="1040" t="str">
        <f t="shared" si="9"/>
        <v>061901</v>
      </c>
      <c r="E244" s="1040" t="s">
        <v>559</v>
      </c>
      <c r="F244" s="1040" t="str">
        <f t="shared" si="14"/>
        <v>038</v>
      </c>
      <c r="G244" s="1040" t="s">
        <v>1111</v>
      </c>
      <c r="H244" s="1041" t="str">
        <f>"18AC"</f>
        <v>18AC</v>
      </c>
      <c r="I244" s="1040" t="s">
        <v>1123</v>
      </c>
      <c r="J244" s="1040">
        <v>409679</v>
      </c>
      <c r="K244" s="1045">
        <v>41407</v>
      </c>
      <c r="L244" s="1040" t="s">
        <v>561</v>
      </c>
      <c r="M244" s="1041">
        <v>2000</v>
      </c>
      <c r="N244" s="1041" t="s">
        <v>576</v>
      </c>
      <c r="O244" s="1041" t="s">
        <v>576</v>
      </c>
      <c r="P244" s="1041" t="s">
        <v>576</v>
      </c>
      <c r="Q244" s="1041" t="s">
        <v>576</v>
      </c>
      <c r="R244" s="1040">
        <v>9</v>
      </c>
      <c r="S244" s="1041">
        <v>1</v>
      </c>
      <c r="T244" s="1042">
        <v>768</v>
      </c>
      <c r="U244" s="1042">
        <v>73388</v>
      </c>
      <c r="V244" s="1042">
        <v>11242</v>
      </c>
      <c r="W244" s="1042"/>
      <c r="X244" s="1042">
        <v>96</v>
      </c>
      <c r="Y244" s="1042">
        <v>15</v>
      </c>
      <c r="Z244" s="1040" t="s">
        <v>577</v>
      </c>
      <c r="AA244" s="1040" t="s">
        <v>578</v>
      </c>
      <c r="AB244" s="1040" t="s">
        <v>579</v>
      </c>
      <c r="AC244" s="1040" t="s">
        <v>580</v>
      </c>
      <c r="AD244" s="1040" t="s">
        <v>581</v>
      </c>
      <c r="AE244" s="1054"/>
      <c r="AF244" s="1040" t="s">
        <v>582</v>
      </c>
      <c r="AG244" s="1040">
        <v>0</v>
      </c>
      <c r="AH244" s="1040" t="s">
        <v>1113</v>
      </c>
      <c r="AI244" s="1040" t="s">
        <v>594</v>
      </c>
      <c r="AJ244" s="1040" t="s">
        <v>571</v>
      </c>
      <c r="AK244" s="1041">
        <v>76208</v>
      </c>
      <c r="AL244" s="1040" t="s">
        <v>1124</v>
      </c>
      <c r="AM244" s="1040" t="s">
        <v>1125</v>
      </c>
      <c r="AN244" s="1040" t="s">
        <v>585</v>
      </c>
      <c r="AO244" s="1040">
        <v>70000</v>
      </c>
      <c r="AP244" s="1040">
        <v>409679</v>
      </c>
    </row>
    <row r="245" spans="1:42" x14ac:dyDescent="0.3">
      <c r="A245" s="1040">
        <v>98</v>
      </c>
      <c r="B245" s="1040">
        <v>75531</v>
      </c>
      <c r="C245" s="1040" t="s">
        <v>558</v>
      </c>
      <c r="D245" s="1040" t="str">
        <f t="shared" si="9"/>
        <v>061901</v>
      </c>
      <c r="E245" s="1040" t="s">
        <v>559</v>
      </c>
      <c r="F245" s="1040" t="str">
        <f t="shared" si="14"/>
        <v>038</v>
      </c>
      <c r="G245" s="1040" t="s">
        <v>1111</v>
      </c>
      <c r="H245" s="1041" t="str">
        <f>"18AD"</f>
        <v>18AD</v>
      </c>
      <c r="I245" s="1040" t="s">
        <v>1126</v>
      </c>
      <c r="J245" s="1040">
        <v>409680</v>
      </c>
      <c r="K245" s="1045">
        <v>41407</v>
      </c>
      <c r="L245" s="1040" t="s">
        <v>561</v>
      </c>
      <c r="M245" s="1041">
        <v>2000</v>
      </c>
      <c r="N245" s="1041" t="s">
        <v>576</v>
      </c>
      <c r="O245" s="1041" t="s">
        <v>576</v>
      </c>
      <c r="P245" s="1041" t="s">
        <v>576</v>
      </c>
      <c r="Q245" s="1041" t="s">
        <v>576</v>
      </c>
      <c r="R245" s="1040">
        <v>9</v>
      </c>
      <c r="S245" s="1041">
        <v>1</v>
      </c>
      <c r="T245" s="1042">
        <v>768</v>
      </c>
      <c r="U245" s="1042">
        <v>73388</v>
      </c>
      <c r="V245" s="1042">
        <v>11242</v>
      </c>
      <c r="W245" s="1042"/>
      <c r="X245" s="1042">
        <v>96</v>
      </c>
      <c r="Y245" s="1042">
        <v>15</v>
      </c>
      <c r="Z245" s="1040" t="s">
        <v>577</v>
      </c>
      <c r="AA245" s="1040" t="s">
        <v>578</v>
      </c>
      <c r="AB245" s="1040" t="s">
        <v>579</v>
      </c>
      <c r="AC245" s="1040" t="s">
        <v>580</v>
      </c>
      <c r="AD245" s="1040" t="s">
        <v>581</v>
      </c>
      <c r="AE245" s="1054"/>
      <c r="AF245" s="1040" t="s">
        <v>582</v>
      </c>
      <c r="AG245" s="1040">
        <v>0</v>
      </c>
      <c r="AH245" s="1040" t="s">
        <v>1113</v>
      </c>
      <c r="AI245" s="1040" t="s">
        <v>594</v>
      </c>
      <c r="AJ245" s="1040" t="s">
        <v>571</v>
      </c>
      <c r="AK245" s="1041">
        <v>76208</v>
      </c>
      <c r="AL245" s="1040" t="s">
        <v>1124</v>
      </c>
      <c r="AM245" s="1040" t="s">
        <v>1127</v>
      </c>
      <c r="AN245" s="1040" t="s">
        <v>585</v>
      </c>
      <c r="AO245" s="1040">
        <v>70000</v>
      </c>
      <c r="AP245" s="1040">
        <v>409680</v>
      </c>
    </row>
    <row r="246" spans="1:42" x14ac:dyDescent="0.3">
      <c r="A246" s="1040">
        <v>98</v>
      </c>
      <c r="B246" s="1040">
        <v>75531</v>
      </c>
      <c r="C246" s="1040" t="s">
        <v>558</v>
      </c>
      <c r="D246" s="1040" t="str">
        <f t="shared" si="9"/>
        <v>061901</v>
      </c>
      <c r="E246" s="1040" t="s">
        <v>559</v>
      </c>
      <c r="F246" s="1040" t="str">
        <f t="shared" si="14"/>
        <v>038</v>
      </c>
      <c r="G246" s="1040" t="s">
        <v>1111</v>
      </c>
      <c r="H246" s="1041" t="str">
        <f>"18AE"</f>
        <v>18AE</v>
      </c>
      <c r="I246" s="1040" t="s">
        <v>1128</v>
      </c>
      <c r="J246" s="1040">
        <v>409681</v>
      </c>
      <c r="K246" s="1045">
        <v>41407</v>
      </c>
      <c r="L246" s="1040" t="s">
        <v>561</v>
      </c>
      <c r="M246" s="1041">
        <v>2000</v>
      </c>
      <c r="N246" s="1041" t="s">
        <v>576</v>
      </c>
      <c r="O246" s="1041" t="s">
        <v>576</v>
      </c>
      <c r="P246" s="1041" t="s">
        <v>576</v>
      </c>
      <c r="Q246" s="1041" t="s">
        <v>576</v>
      </c>
      <c r="R246" s="1040">
        <v>9</v>
      </c>
      <c r="S246" s="1041">
        <v>1</v>
      </c>
      <c r="T246" s="1042">
        <v>768</v>
      </c>
      <c r="U246" s="1042">
        <v>73388</v>
      </c>
      <c r="V246" s="1042">
        <v>11242</v>
      </c>
      <c r="W246" s="1042"/>
      <c r="X246" s="1042">
        <v>96</v>
      </c>
      <c r="Y246" s="1042">
        <v>15</v>
      </c>
      <c r="Z246" s="1040" t="s">
        <v>577</v>
      </c>
      <c r="AA246" s="1040" t="s">
        <v>578</v>
      </c>
      <c r="AB246" s="1040" t="s">
        <v>579</v>
      </c>
      <c r="AC246" s="1040" t="s">
        <v>580</v>
      </c>
      <c r="AD246" s="1040" t="s">
        <v>581</v>
      </c>
      <c r="AE246" s="1054"/>
      <c r="AF246" s="1040" t="s">
        <v>582</v>
      </c>
      <c r="AG246" s="1040">
        <v>0</v>
      </c>
      <c r="AH246" s="1040" t="s">
        <v>1113</v>
      </c>
      <c r="AI246" s="1040" t="s">
        <v>594</v>
      </c>
      <c r="AJ246" s="1040" t="s">
        <v>571</v>
      </c>
      <c r="AK246" s="1041">
        <v>76208</v>
      </c>
      <c r="AL246" s="1040" t="s">
        <v>1129</v>
      </c>
      <c r="AM246" s="1040" t="s">
        <v>1130</v>
      </c>
      <c r="AN246" s="1040" t="s">
        <v>585</v>
      </c>
      <c r="AO246" s="1040">
        <v>70000</v>
      </c>
      <c r="AP246" s="1040">
        <v>409681</v>
      </c>
    </row>
    <row r="247" spans="1:42" x14ac:dyDescent="0.3">
      <c r="A247" s="1040">
        <v>98</v>
      </c>
      <c r="B247" s="1040">
        <v>75531</v>
      </c>
      <c r="C247" s="1040" t="s">
        <v>558</v>
      </c>
      <c r="D247" s="1040" t="str">
        <f t="shared" si="9"/>
        <v>061901</v>
      </c>
      <c r="E247" s="1040" t="s">
        <v>559</v>
      </c>
      <c r="F247" s="1040" t="str">
        <f t="shared" si="14"/>
        <v>038</v>
      </c>
      <c r="G247" s="1040" t="s">
        <v>1111</v>
      </c>
      <c r="H247" s="1041" t="str">
        <f>"18AF"</f>
        <v>18AF</v>
      </c>
      <c r="I247" s="1040" t="s">
        <v>1131</v>
      </c>
      <c r="J247" s="1040">
        <v>409682</v>
      </c>
      <c r="K247" s="1045">
        <v>41407</v>
      </c>
      <c r="L247" s="1040" t="s">
        <v>561</v>
      </c>
      <c r="M247" s="1041">
        <v>2000</v>
      </c>
      <c r="N247" s="1041" t="s">
        <v>576</v>
      </c>
      <c r="O247" s="1041" t="s">
        <v>576</v>
      </c>
      <c r="P247" s="1041" t="s">
        <v>576</v>
      </c>
      <c r="Q247" s="1041" t="s">
        <v>576</v>
      </c>
      <c r="R247" s="1040">
        <v>9</v>
      </c>
      <c r="S247" s="1041">
        <v>1</v>
      </c>
      <c r="T247" s="1042">
        <v>1536</v>
      </c>
      <c r="U247" s="1042">
        <v>146778</v>
      </c>
      <c r="V247" s="1042">
        <v>22484</v>
      </c>
      <c r="W247" s="1042"/>
      <c r="X247" s="1042">
        <v>96</v>
      </c>
      <c r="Y247" s="1042">
        <v>15</v>
      </c>
      <c r="Z247" s="1040" t="s">
        <v>577</v>
      </c>
      <c r="AA247" s="1040" t="s">
        <v>578</v>
      </c>
      <c r="AB247" s="1040" t="s">
        <v>579</v>
      </c>
      <c r="AC247" s="1040" t="s">
        <v>580</v>
      </c>
      <c r="AD247" s="1040" t="s">
        <v>581</v>
      </c>
      <c r="AE247" s="1054"/>
      <c r="AF247" s="1040" t="s">
        <v>582</v>
      </c>
      <c r="AG247" s="1040">
        <v>0</v>
      </c>
      <c r="AH247" s="1040" t="s">
        <v>1113</v>
      </c>
      <c r="AI247" s="1040" t="s">
        <v>594</v>
      </c>
      <c r="AJ247" s="1040" t="s">
        <v>571</v>
      </c>
      <c r="AK247" s="1041">
        <v>76208</v>
      </c>
      <c r="AL247" s="1040" t="s">
        <v>1132</v>
      </c>
      <c r="AM247" s="1040" t="s">
        <v>1130</v>
      </c>
      <c r="AN247" s="1040" t="s">
        <v>585</v>
      </c>
      <c r="AO247" s="1040">
        <v>140000</v>
      </c>
      <c r="AP247" s="1040">
        <v>409682</v>
      </c>
    </row>
    <row r="248" spans="1:42" x14ac:dyDescent="0.3">
      <c r="A248" s="1040">
        <v>98</v>
      </c>
      <c r="B248" s="1040">
        <v>75531</v>
      </c>
      <c r="C248" s="1040" t="s">
        <v>558</v>
      </c>
      <c r="D248" s="1040" t="str">
        <f t="shared" si="9"/>
        <v>061901</v>
      </c>
      <c r="E248" s="1040" t="s">
        <v>559</v>
      </c>
      <c r="F248" s="1040" t="str">
        <f t="shared" si="14"/>
        <v>038</v>
      </c>
      <c r="G248" s="1040" t="s">
        <v>1111</v>
      </c>
      <c r="H248" s="1041" t="str">
        <f>"18AG"</f>
        <v>18AG</v>
      </c>
      <c r="I248" s="1040" t="s">
        <v>1133</v>
      </c>
      <c r="J248" s="1040">
        <v>409683</v>
      </c>
      <c r="K248" s="1045">
        <v>41407</v>
      </c>
      <c r="L248" s="1040" t="s">
        <v>561</v>
      </c>
      <c r="M248" s="1041">
        <v>2000</v>
      </c>
      <c r="N248" s="1041" t="s">
        <v>576</v>
      </c>
      <c r="O248" s="1041" t="s">
        <v>576</v>
      </c>
      <c r="P248" s="1041" t="s">
        <v>576</v>
      </c>
      <c r="Q248" s="1041" t="s">
        <v>576</v>
      </c>
      <c r="R248" s="1040">
        <v>9</v>
      </c>
      <c r="S248" s="1041">
        <v>1</v>
      </c>
      <c r="T248" s="1042">
        <v>768</v>
      </c>
      <c r="U248" s="1042">
        <v>73388</v>
      </c>
      <c r="V248" s="1042">
        <v>11242</v>
      </c>
      <c r="W248" s="1042"/>
      <c r="X248" s="1042">
        <v>96</v>
      </c>
      <c r="Y248" s="1042">
        <v>15</v>
      </c>
      <c r="Z248" s="1040" t="s">
        <v>577</v>
      </c>
      <c r="AA248" s="1040" t="s">
        <v>578</v>
      </c>
      <c r="AB248" s="1040" t="s">
        <v>579</v>
      </c>
      <c r="AC248" s="1040" t="s">
        <v>580</v>
      </c>
      <c r="AD248" s="1040" t="s">
        <v>581</v>
      </c>
      <c r="AE248" s="1054"/>
      <c r="AF248" s="1040" t="s">
        <v>582</v>
      </c>
      <c r="AG248" s="1040">
        <v>0</v>
      </c>
      <c r="AH248" s="1040" t="s">
        <v>1113</v>
      </c>
      <c r="AI248" s="1040" t="s">
        <v>594</v>
      </c>
      <c r="AJ248" s="1040" t="s">
        <v>571</v>
      </c>
      <c r="AK248" s="1041">
        <v>76208</v>
      </c>
      <c r="AL248" s="1040" t="s">
        <v>1134</v>
      </c>
      <c r="AM248" s="1040" t="s">
        <v>1135</v>
      </c>
      <c r="AN248" s="1040" t="s">
        <v>585</v>
      </c>
      <c r="AO248" s="1040">
        <v>70000</v>
      </c>
      <c r="AP248" s="1040">
        <v>409683</v>
      </c>
    </row>
    <row r="249" spans="1:42" x14ac:dyDescent="0.3">
      <c r="A249" s="1040">
        <v>98</v>
      </c>
      <c r="B249" s="1040">
        <v>75531</v>
      </c>
      <c r="C249" s="1040" t="s">
        <v>558</v>
      </c>
      <c r="D249" s="1040" t="str">
        <f t="shared" si="9"/>
        <v>061901</v>
      </c>
      <c r="E249" s="1040" t="s">
        <v>559</v>
      </c>
      <c r="F249" s="1040" t="str">
        <f t="shared" si="14"/>
        <v>038</v>
      </c>
      <c r="G249" s="1040" t="s">
        <v>1111</v>
      </c>
      <c r="H249" s="1041" t="str">
        <f>"18AH"</f>
        <v>18AH</v>
      </c>
      <c r="I249" s="1040" t="s">
        <v>1136</v>
      </c>
      <c r="J249" s="1040">
        <v>409684</v>
      </c>
      <c r="K249" s="1045">
        <v>41407</v>
      </c>
      <c r="L249" s="1040" t="s">
        <v>561</v>
      </c>
      <c r="M249" s="1041">
        <v>2000</v>
      </c>
      <c r="N249" s="1041" t="s">
        <v>576</v>
      </c>
      <c r="O249" s="1041" t="s">
        <v>576</v>
      </c>
      <c r="P249" s="1041" t="s">
        <v>576</v>
      </c>
      <c r="Q249" s="1041" t="s">
        <v>576</v>
      </c>
      <c r="R249" s="1040">
        <v>9</v>
      </c>
      <c r="S249" s="1041">
        <v>1</v>
      </c>
      <c r="T249" s="1042">
        <v>768</v>
      </c>
      <c r="U249" s="1042">
        <v>73388</v>
      </c>
      <c r="V249" s="1042">
        <v>11242</v>
      </c>
      <c r="W249" s="1042"/>
      <c r="X249" s="1042">
        <v>96</v>
      </c>
      <c r="Y249" s="1042">
        <v>15</v>
      </c>
      <c r="Z249" s="1040" t="s">
        <v>577</v>
      </c>
      <c r="AA249" s="1040" t="s">
        <v>578</v>
      </c>
      <c r="AB249" s="1040" t="s">
        <v>579</v>
      </c>
      <c r="AC249" s="1040" t="s">
        <v>580</v>
      </c>
      <c r="AD249" s="1040" t="s">
        <v>581</v>
      </c>
      <c r="AE249" s="1054"/>
      <c r="AF249" s="1040" t="s">
        <v>582</v>
      </c>
      <c r="AG249" s="1040">
        <v>0</v>
      </c>
      <c r="AH249" s="1040" t="s">
        <v>1113</v>
      </c>
      <c r="AI249" s="1040" t="s">
        <v>594</v>
      </c>
      <c r="AJ249" s="1040" t="s">
        <v>571</v>
      </c>
      <c r="AK249" s="1041">
        <v>76208</v>
      </c>
      <c r="AL249" s="1040" t="s">
        <v>1137</v>
      </c>
      <c r="AM249" s="1040" t="s">
        <v>1127</v>
      </c>
      <c r="AN249" s="1040" t="s">
        <v>585</v>
      </c>
      <c r="AO249" s="1040">
        <v>70000</v>
      </c>
      <c r="AP249" s="1040">
        <v>409684</v>
      </c>
    </row>
    <row r="250" spans="1:42" x14ac:dyDescent="0.3">
      <c r="A250" s="1040">
        <v>98</v>
      </c>
      <c r="B250" s="1040">
        <v>75531</v>
      </c>
      <c r="C250" s="1040" t="s">
        <v>558</v>
      </c>
      <c r="D250" s="1040" t="str">
        <f t="shared" si="9"/>
        <v>061901</v>
      </c>
      <c r="E250" s="1040" t="s">
        <v>559</v>
      </c>
      <c r="F250" s="1040" t="str">
        <f t="shared" si="14"/>
        <v>038</v>
      </c>
      <c r="G250" s="1040" t="s">
        <v>1111</v>
      </c>
      <c r="H250" s="1041" t="str">
        <f>"18AI"</f>
        <v>18AI</v>
      </c>
      <c r="I250" s="1040" t="s">
        <v>1138</v>
      </c>
      <c r="J250" s="1040">
        <v>409685</v>
      </c>
      <c r="K250" s="1045">
        <v>41407</v>
      </c>
      <c r="L250" s="1040" t="s">
        <v>561</v>
      </c>
      <c r="M250" s="1041">
        <v>2000</v>
      </c>
      <c r="N250" s="1041" t="s">
        <v>576</v>
      </c>
      <c r="O250" s="1041" t="s">
        <v>576</v>
      </c>
      <c r="P250" s="1041" t="s">
        <v>576</v>
      </c>
      <c r="Q250" s="1041" t="s">
        <v>576</v>
      </c>
      <c r="R250" s="1040">
        <v>9</v>
      </c>
      <c r="S250" s="1041">
        <v>1</v>
      </c>
      <c r="T250" s="1042">
        <v>768</v>
      </c>
      <c r="U250" s="1042">
        <v>73388</v>
      </c>
      <c r="V250" s="1042">
        <v>11242</v>
      </c>
      <c r="W250" s="1042"/>
      <c r="X250" s="1042">
        <v>96</v>
      </c>
      <c r="Y250" s="1042">
        <v>15</v>
      </c>
      <c r="Z250" s="1040" t="s">
        <v>577</v>
      </c>
      <c r="AA250" s="1040" t="s">
        <v>578</v>
      </c>
      <c r="AB250" s="1040" t="s">
        <v>579</v>
      </c>
      <c r="AC250" s="1040" t="s">
        <v>580</v>
      </c>
      <c r="AD250" s="1040" t="s">
        <v>581</v>
      </c>
      <c r="AE250" s="1054"/>
      <c r="AF250" s="1040" t="s">
        <v>582</v>
      </c>
      <c r="AG250" s="1040">
        <v>0</v>
      </c>
      <c r="AH250" s="1040" t="s">
        <v>1113</v>
      </c>
      <c r="AI250" s="1040" t="s">
        <v>594</v>
      </c>
      <c r="AJ250" s="1040" t="s">
        <v>571</v>
      </c>
      <c r="AK250" s="1041">
        <v>76208</v>
      </c>
      <c r="AL250" s="1040" t="s">
        <v>1139</v>
      </c>
      <c r="AM250" s="1040" t="s">
        <v>1140</v>
      </c>
      <c r="AN250" s="1040" t="s">
        <v>585</v>
      </c>
      <c r="AO250" s="1040">
        <v>70000</v>
      </c>
      <c r="AP250" s="1040">
        <v>409685</v>
      </c>
    </row>
    <row r="251" spans="1:42" x14ac:dyDescent="0.3">
      <c r="A251" s="1040">
        <v>98</v>
      </c>
      <c r="B251" s="1040">
        <v>75531</v>
      </c>
      <c r="C251" s="1040" t="s">
        <v>558</v>
      </c>
      <c r="D251" s="1040" t="str">
        <f t="shared" si="9"/>
        <v>061901</v>
      </c>
      <c r="E251" s="1040" t="s">
        <v>559</v>
      </c>
      <c r="F251" s="1040" t="str">
        <f t="shared" si="14"/>
        <v>038</v>
      </c>
      <c r="G251" s="1040" t="s">
        <v>1111</v>
      </c>
      <c r="H251" s="1041" t="str">
        <f>"18AJ"</f>
        <v>18AJ</v>
      </c>
      <c r="I251" s="1040" t="s">
        <v>1141</v>
      </c>
      <c r="J251" s="1040">
        <v>409686</v>
      </c>
      <c r="K251" s="1045">
        <v>41407</v>
      </c>
      <c r="L251" s="1040" t="s">
        <v>561</v>
      </c>
      <c r="M251" s="1041">
        <v>2000</v>
      </c>
      <c r="N251" s="1041" t="s">
        <v>576</v>
      </c>
      <c r="O251" s="1041" t="s">
        <v>576</v>
      </c>
      <c r="P251" s="1041" t="s">
        <v>576</v>
      </c>
      <c r="Q251" s="1041" t="s">
        <v>576</v>
      </c>
      <c r="R251" s="1040">
        <v>9</v>
      </c>
      <c r="S251" s="1041">
        <v>1</v>
      </c>
      <c r="T251" s="1042">
        <v>768</v>
      </c>
      <c r="U251" s="1042">
        <v>73388</v>
      </c>
      <c r="V251" s="1042">
        <v>11242</v>
      </c>
      <c r="W251" s="1042"/>
      <c r="X251" s="1042">
        <v>96</v>
      </c>
      <c r="Y251" s="1042">
        <v>15</v>
      </c>
      <c r="Z251" s="1040" t="s">
        <v>577</v>
      </c>
      <c r="AA251" s="1040" t="s">
        <v>578</v>
      </c>
      <c r="AB251" s="1040" t="s">
        <v>579</v>
      </c>
      <c r="AC251" s="1040" t="s">
        <v>580</v>
      </c>
      <c r="AD251" s="1040" t="s">
        <v>581</v>
      </c>
      <c r="AE251" s="1054"/>
      <c r="AF251" s="1040" t="s">
        <v>582</v>
      </c>
      <c r="AG251" s="1040">
        <v>0</v>
      </c>
      <c r="AH251" s="1040" t="s">
        <v>1113</v>
      </c>
      <c r="AI251" s="1040" t="s">
        <v>594</v>
      </c>
      <c r="AJ251" s="1040" t="s">
        <v>571</v>
      </c>
      <c r="AK251" s="1041">
        <v>76208</v>
      </c>
      <c r="AL251" s="1040" t="s">
        <v>1124</v>
      </c>
      <c r="AM251" s="1040" t="s">
        <v>1142</v>
      </c>
      <c r="AN251" s="1040" t="s">
        <v>585</v>
      </c>
      <c r="AO251" s="1040">
        <v>70000</v>
      </c>
      <c r="AP251" s="1040">
        <v>409686</v>
      </c>
    </row>
    <row r="252" spans="1:42" x14ac:dyDescent="0.3">
      <c r="A252" s="1040">
        <v>98</v>
      </c>
      <c r="B252" s="1040">
        <v>75531</v>
      </c>
      <c r="C252" s="1040" t="s">
        <v>558</v>
      </c>
      <c r="D252" s="1040" t="str">
        <f t="shared" si="9"/>
        <v>061901</v>
      </c>
      <c r="E252" s="1040" t="s">
        <v>559</v>
      </c>
      <c r="F252" s="1040" t="str">
        <f t="shared" si="14"/>
        <v>038</v>
      </c>
      <c r="G252" s="1040" t="s">
        <v>1111</v>
      </c>
      <c r="H252" s="1041" t="str">
        <f>"18AK"</f>
        <v>18AK</v>
      </c>
      <c r="I252" s="1040" t="s">
        <v>1143</v>
      </c>
      <c r="J252" s="1040">
        <v>409687</v>
      </c>
      <c r="K252" s="1045">
        <v>41407</v>
      </c>
      <c r="L252" s="1040" t="s">
        <v>561</v>
      </c>
      <c r="M252" s="1041">
        <v>2000</v>
      </c>
      <c r="N252" s="1041" t="s">
        <v>576</v>
      </c>
      <c r="O252" s="1041" t="s">
        <v>576</v>
      </c>
      <c r="P252" s="1041" t="s">
        <v>576</v>
      </c>
      <c r="Q252" s="1041" t="s">
        <v>576</v>
      </c>
      <c r="R252" s="1040">
        <v>9</v>
      </c>
      <c r="S252" s="1041">
        <v>1</v>
      </c>
      <c r="T252" s="1042">
        <v>768</v>
      </c>
      <c r="U252" s="1042">
        <v>73388</v>
      </c>
      <c r="V252" s="1042">
        <v>11242</v>
      </c>
      <c r="W252" s="1042"/>
      <c r="X252" s="1042">
        <v>96</v>
      </c>
      <c r="Y252" s="1042">
        <v>15</v>
      </c>
      <c r="Z252" s="1040" t="s">
        <v>577</v>
      </c>
      <c r="AA252" s="1040" t="s">
        <v>578</v>
      </c>
      <c r="AB252" s="1040" t="s">
        <v>579</v>
      </c>
      <c r="AC252" s="1040" t="s">
        <v>580</v>
      </c>
      <c r="AD252" s="1040" t="s">
        <v>581</v>
      </c>
      <c r="AE252" s="1054"/>
      <c r="AF252" s="1040" t="s">
        <v>582</v>
      </c>
      <c r="AG252" s="1040">
        <v>0</v>
      </c>
      <c r="AH252" s="1040" t="s">
        <v>1113</v>
      </c>
      <c r="AI252" s="1040" t="s">
        <v>594</v>
      </c>
      <c r="AJ252" s="1040" t="s">
        <v>571</v>
      </c>
      <c r="AK252" s="1041">
        <v>76208</v>
      </c>
      <c r="AL252" s="1040" t="s">
        <v>1144</v>
      </c>
      <c r="AM252" s="1040" t="s">
        <v>1145</v>
      </c>
      <c r="AN252" s="1040" t="s">
        <v>585</v>
      </c>
      <c r="AO252" s="1040">
        <v>70000</v>
      </c>
      <c r="AP252" s="1040">
        <v>409687</v>
      </c>
    </row>
    <row r="253" spans="1:42" x14ac:dyDescent="0.3">
      <c r="A253" s="1040">
        <v>98</v>
      </c>
      <c r="B253" s="1040">
        <v>75531</v>
      </c>
      <c r="C253" s="1040" t="s">
        <v>558</v>
      </c>
      <c r="D253" s="1040" t="str">
        <f t="shared" si="9"/>
        <v>061901</v>
      </c>
      <c r="E253" s="1040" t="s">
        <v>559</v>
      </c>
      <c r="F253" s="1040" t="str">
        <f t="shared" si="14"/>
        <v>038</v>
      </c>
      <c r="G253" s="1040" t="s">
        <v>1111</v>
      </c>
      <c r="H253" s="1041" t="str">
        <f>"18AL"</f>
        <v>18AL</v>
      </c>
      <c r="I253" s="1040" t="s">
        <v>1146</v>
      </c>
      <c r="J253" s="1040">
        <v>409688</v>
      </c>
      <c r="K253" s="1045">
        <v>41407</v>
      </c>
      <c r="L253" s="1040" t="s">
        <v>561</v>
      </c>
      <c r="M253" s="1041">
        <v>2000</v>
      </c>
      <c r="N253" s="1041" t="s">
        <v>576</v>
      </c>
      <c r="O253" s="1041" t="s">
        <v>576</v>
      </c>
      <c r="P253" s="1041" t="s">
        <v>576</v>
      </c>
      <c r="Q253" s="1041" t="s">
        <v>576</v>
      </c>
      <c r="R253" s="1040">
        <v>9</v>
      </c>
      <c r="S253" s="1041">
        <v>1</v>
      </c>
      <c r="T253" s="1042">
        <v>768</v>
      </c>
      <c r="U253" s="1042">
        <v>73388</v>
      </c>
      <c r="V253" s="1042">
        <v>11242</v>
      </c>
      <c r="W253" s="1042"/>
      <c r="X253" s="1042">
        <v>96</v>
      </c>
      <c r="Y253" s="1042">
        <v>15</v>
      </c>
      <c r="Z253" s="1040" t="s">
        <v>577</v>
      </c>
      <c r="AA253" s="1040" t="s">
        <v>578</v>
      </c>
      <c r="AB253" s="1040" t="s">
        <v>579</v>
      </c>
      <c r="AC253" s="1040" t="s">
        <v>580</v>
      </c>
      <c r="AD253" s="1040" t="s">
        <v>581</v>
      </c>
      <c r="AE253" s="1054"/>
      <c r="AF253" s="1040" t="s">
        <v>582</v>
      </c>
      <c r="AG253" s="1040">
        <v>0</v>
      </c>
      <c r="AH253" s="1040" t="s">
        <v>1113</v>
      </c>
      <c r="AI253" s="1040" t="s">
        <v>594</v>
      </c>
      <c r="AJ253" s="1040" t="s">
        <v>571</v>
      </c>
      <c r="AK253" s="1041">
        <v>76208</v>
      </c>
      <c r="AL253" s="1040" t="s">
        <v>1137</v>
      </c>
      <c r="AM253" s="1040" t="s">
        <v>1147</v>
      </c>
      <c r="AN253" s="1040" t="s">
        <v>585</v>
      </c>
      <c r="AO253" s="1040">
        <v>70000</v>
      </c>
      <c r="AP253" s="1040">
        <v>409688</v>
      </c>
    </row>
    <row r="254" spans="1:42" x14ac:dyDescent="0.3">
      <c r="A254" s="1040">
        <v>98</v>
      </c>
      <c r="B254" s="1040">
        <v>75531</v>
      </c>
      <c r="C254" s="1040" t="s">
        <v>558</v>
      </c>
      <c r="D254" s="1040" t="str">
        <f t="shared" si="9"/>
        <v>061901</v>
      </c>
      <c r="E254" s="1040" t="s">
        <v>559</v>
      </c>
      <c r="F254" s="1040" t="str">
        <f t="shared" si="14"/>
        <v>038</v>
      </c>
      <c r="G254" s="1040" t="s">
        <v>1111</v>
      </c>
      <c r="H254" s="1041" t="str">
        <f>"18AM"</f>
        <v>18AM</v>
      </c>
      <c r="I254" s="1040" t="s">
        <v>1148</v>
      </c>
      <c r="J254" s="1040">
        <v>409689</v>
      </c>
      <c r="K254" s="1045">
        <v>41407</v>
      </c>
      <c r="L254" s="1040" t="s">
        <v>561</v>
      </c>
      <c r="M254" s="1041">
        <v>2009</v>
      </c>
      <c r="N254" s="1041" t="s">
        <v>576</v>
      </c>
      <c r="O254" s="1041" t="s">
        <v>576</v>
      </c>
      <c r="P254" s="1041" t="s">
        <v>576</v>
      </c>
      <c r="Q254" s="1041" t="s">
        <v>576</v>
      </c>
      <c r="R254" s="1040">
        <v>7</v>
      </c>
      <c r="S254" s="1041">
        <v>1</v>
      </c>
      <c r="T254" s="1042">
        <v>64</v>
      </c>
      <c r="U254" s="1042">
        <v>10484</v>
      </c>
      <c r="V254" s="1042">
        <v>1013</v>
      </c>
      <c r="W254" s="1042"/>
      <c r="X254" s="1042">
        <v>164</v>
      </c>
      <c r="Y254" s="1042">
        <v>16</v>
      </c>
      <c r="Z254" s="1040" t="s">
        <v>604</v>
      </c>
      <c r="AA254" s="1040" t="s">
        <v>605</v>
      </c>
      <c r="AB254" s="1040" t="s">
        <v>606</v>
      </c>
      <c r="AC254" s="1040" t="s">
        <v>606</v>
      </c>
      <c r="AD254" s="1040" t="s">
        <v>581</v>
      </c>
      <c r="AE254" s="1054"/>
      <c r="AF254" s="1040" t="s">
        <v>582</v>
      </c>
      <c r="AG254" s="1040">
        <v>0</v>
      </c>
      <c r="AH254" s="1040" t="s">
        <v>1113</v>
      </c>
      <c r="AI254" s="1040" t="s">
        <v>594</v>
      </c>
      <c r="AJ254" s="1040" t="s">
        <v>571</v>
      </c>
      <c r="AK254" s="1041">
        <v>76208</v>
      </c>
      <c r="AL254" s="1040" t="s">
        <v>1149</v>
      </c>
      <c r="AM254" s="1040" t="s">
        <v>1150</v>
      </c>
      <c r="AN254" s="1040"/>
      <c r="AO254" s="1040">
        <v>10000</v>
      </c>
      <c r="AP254" s="1040">
        <v>409689</v>
      </c>
    </row>
    <row r="255" spans="1:42" x14ac:dyDescent="0.3">
      <c r="A255" s="1040">
        <v>98</v>
      </c>
      <c r="B255" s="1040">
        <v>75531</v>
      </c>
      <c r="C255" s="1040" t="s">
        <v>558</v>
      </c>
      <c r="D255" s="1040" t="str">
        <f t="shared" si="9"/>
        <v>061901</v>
      </c>
      <c r="E255" s="1040" t="s">
        <v>559</v>
      </c>
      <c r="F255" s="1040" t="str">
        <f t="shared" si="14"/>
        <v>038</v>
      </c>
      <c r="G255" s="1040" t="s">
        <v>1111</v>
      </c>
      <c r="H255" s="1041" t="str">
        <f>"18B"</f>
        <v>18B</v>
      </c>
      <c r="I255" s="1040" t="s">
        <v>1151</v>
      </c>
      <c r="J255" s="1040">
        <v>409553</v>
      </c>
      <c r="K255" s="1045">
        <v>41407</v>
      </c>
      <c r="L255" s="1040" t="s">
        <v>561</v>
      </c>
      <c r="M255" s="1041">
        <v>1991</v>
      </c>
      <c r="N255" s="1041" t="s">
        <v>562</v>
      </c>
      <c r="O255" s="1041" t="s">
        <v>562</v>
      </c>
      <c r="P255" s="1041" t="s">
        <v>562</v>
      </c>
      <c r="Q255" s="1041" t="s">
        <v>562</v>
      </c>
      <c r="R255" s="1040">
        <v>16</v>
      </c>
      <c r="S255" s="1041">
        <v>1</v>
      </c>
      <c r="T255" s="1042">
        <v>18459</v>
      </c>
      <c r="U255" s="1042">
        <v>2777243</v>
      </c>
      <c r="V255" s="1042">
        <v>233020</v>
      </c>
      <c r="W255" s="1042"/>
      <c r="X255" s="1042">
        <v>150</v>
      </c>
      <c r="Y255" s="1042">
        <v>13</v>
      </c>
      <c r="Z255" s="1040" t="s">
        <v>563</v>
      </c>
      <c r="AA255" s="1040" t="s">
        <v>693</v>
      </c>
      <c r="AB255" s="1040" t="s">
        <v>637</v>
      </c>
      <c r="AC255" s="1040" t="s">
        <v>638</v>
      </c>
      <c r="AD255" s="1040" t="s">
        <v>880</v>
      </c>
      <c r="AE255" s="1055"/>
      <c r="AF255" s="1040" t="s">
        <v>738</v>
      </c>
      <c r="AG255" s="1040">
        <v>0</v>
      </c>
      <c r="AH255" s="1040" t="s">
        <v>1113</v>
      </c>
      <c r="AI255" s="1040" t="s">
        <v>594</v>
      </c>
      <c r="AJ255" s="1040" t="s">
        <v>571</v>
      </c>
      <c r="AK255" s="1041">
        <v>76208</v>
      </c>
      <c r="AL255" s="1040" t="s">
        <v>1152</v>
      </c>
      <c r="AM255" s="1040" t="s">
        <v>1153</v>
      </c>
      <c r="AN255" s="1040" t="s">
        <v>602</v>
      </c>
      <c r="AO255" s="1040">
        <v>2649000</v>
      </c>
      <c r="AP255" s="1040">
        <v>409553</v>
      </c>
    </row>
    <row r="256" spans="1:42" x14ac:dyDescent="0.3">
      <c r="A256" s="1040">
        <v>98</v>
      </c>
      <c r="B256" s="1040">
        <v>75531</v>
      </c>
      <c r="C256" s="1040" t="s">
        <v>558</v>
      </c>
      <c r="D256" s="1040" t="str">
        <f t="shared" si="9"/>
        <v>061901</v>
      </c>
      <c r="E256" s="1040" t="s">
        <v>559</v>
      </c>
      <c r="F256" s="1040" t="str">
        <f t="shared" si="14"/>
        <v>038</v>
      </c>
      <c r="G256" s="1040" t="s">
        <v>1111</v>
      </c>
      <c r="H256" s="1041" t="str">
        <f>"18C"</f>
        <v>18C</v>
      </c>
      <c r="I256" s="1040" t="s">
        <v>1154</v>
      </c>
      <c r="J256" s="1040">
        <v>409554</v>
      </c>
      <c r="K256" s="1045">
        <v>41407</v>
      </c>
      <c r="L256" s="1040" t="s">
        <v>561</v>
      </c>
      <c r="M256" s="1041">
        <v>1997</v>
      </c>
      <c r="N256" s="1041" t="s">
        <v>562</v>
      </c>
      <c r="O256" s="1041" t="s">
        <v>562</v>
      </c>
      <c r="P256" s="1041" t="s">
        <v>562</v>
      </c>
      <c r="Q256" s="1041" t="s">
        <v>562</v>
      </c>
      <c r="R256" s="1040">
        <v>16</v>
      </c>
      <c r="S256" s="1041">
        <v>1</v>
      </c>
      <c r="T256" s="1042">
        <v>6160</v>
      </c>
      <c r="U256" s="1042">
        <v>1000185</v>
      </c>
      <c r="V256" s="1042">
        <v>171700</v>
      </c>
      <c r="W256" s="1042"/>
      <c r="X256" s="1042">
        <v>162</v>
      </c>
      <c r="Y256" s="1042">
        <v>28</v>
      </c>
      <c r="Z256" s="1040" t="s">
        <v>563</v>
      </c>
      <c r="AA256" s="1040" t="s">
        <v>693</v>
      </c>
      <c r="AB256" s="1040" t="s">
        <v>637</v>
      </c>
      <c r="AC256" s="1040" t="s">
        <v>638</v>
      </c>
      <c r="AD256" s="1040" t="s">
        <v>581</v>
      </c>
      <c r="AE256" s="1054"/>
      <c r="AF256" s="1040" t="s">
        <v>582</v>
      </c>
      <c r="AG256" s="1040">
        <v>0</v>
      </c>
      <c r="AH256" s="1040" t="s">
        <v>1113</v>
      </c>
      <c r="AI256" s="1040" t="s">
        <v>594</v>
      </c>
      <c r="AJ256" s="1040" t="s">
        <v>571</v>
      </c>
      <c r="AK256" s="1041">
        <v>76208</v>
      </c>
      <c r="AL256" s="1040" t="s">
        <v>1155</v>
      </c>
      <c r="AM256" s="1040" t="s">
        <v>1156</v>
      </c>
      <c r="AN256" s="1040" t="s">
        <v>602</v>
      </c>
      <c r="AO256" s="1040">
        <v>954000</v>
      </c>
      <c r="AP256" s="1040">
        <v>409554</v>
      </c>
    </row>
    <row r="257" spans="1:42" x14ac:dyDescent="0.3">
      <c r="A257" s="1040">
        <v>98</v>
      </c>
      <c r="B257" s="1040">
        <v>75531</v>
      </c>
      <c r="C257" s="1040" t="s">
        <v>558</v>
      </c>
      <c r="D257" s="1040" t="str">
        <f t="shared" si="9"/>
        <v>061901</v>
      </c>
      <c r="E257" s="1040" t="s">
        <v>559</v>
      </c>
      <c r="F257" s="1040" t="str">
        <f t="shared" si="14"/>
        <v>038</v>
      </c>
      <c r="G257" s="1040" t="s">
        <v>1111</v>
      </c>
      <c r="H257" s="1041" t="str">
        <f>"18D"</f>
        <v>18D</v>
      </c>
      <c r="I257" s="1040" t="s">
        <v>1157</v>
      </c>
      <c r="J257" s="1040">
        <v>409555</v>
      </c>
      <c r="K257" s="1045">
        <v>41407</v>
      </c>
      <c r="L257" s="1040" t="s">
        <v>561</v>
      </c>
      <c r="M257" s="1041">
        <v>2009</v>
      </c>
      <c r="N257" s="1041" t="s">
        <v>562</v>
      </c>
      <c r="O257" s="1041" t="s">
        <v>562</v>
      </c>
      <c r="P257" s="1041" t="s">
        <v>562</v>
      </c>
      <c r="Q257" s="1041" t="s">
        <v>562</v>
      </c>
      <c r="R257" s="1040">
        <v>13</v>
      </c>
      <c r="S257" s="1041">
        <v>1</v>
      </c>
      <c r="T257" s="1042">
        <v>3224</v>
      </c>
      <c r="U257" s="1042">
        <v>595499</v>
      </c>
      <c r="V257" s="1042">
        <v>16352</v>
      </c>
      <c r="W257" s="1042"/>
      <c r="X257" s="1042">
        <v>185</v>
      </c>
      <c r="Y257" s="1042">
        <v>5</v>
      </c>
      <c r="Z257" s="1040" t="s">
        <v>563</v>
      </c>
      <c r="AA257" s="1040" t="s">
        <v>693</v>
      </c>
      <c r="AB257" s="1040" t="s">
        <v>565</v>
      </c>
      <c r="AC257" s="1040" t="s">
        <v>566</v>
      </c>
      <c r="AD257" s="1040" t="s">
        <v>591</v>
      </c>
      <c r="AE257" s="1041"/>
      <c r="AF257" s="1040" t="s">
        <v>592</v>
      </c>
      <c r="AG257" s="1040">
        <v>0</v>
      </c>
      <c r="AH257" s="1040" t="s">
        <v>1113</v>
      </c>
      <c r="AI257" s="1040" t="s">
        <v>594</v>
      </c>
      <c r="AJ257" s="1040" t="s">
        <v>571</v>
      </c>
      <c r="AK257" s="1041">
        <v>76208</v>
      </c>
      <c r="AL257" s="1040" t="s">
        <v>1158</v>
      </c>
      <c r="AM257" s="1040" t="s">
        <v>1159</v>
      </c>
      <c r="AN257" s="1040" t="s">
        <v>791</v>
      </c>
      <c r="AO257" s="1040">
        <v>568000</v>
      </c>
      <c r="AP257" s="1040">
        <v>409555</v>
      </c>
    </row>
    <row r="258" spans="1:42" x14ac:dyDescent="0.3">
      <c r="A258" s="1040">
        <v>98</v>
      </c>
      <c r="B258" s="1040">
        <v>75531</v>
      </c>
      <c r="C258" s="1040" t="s">
        <v>558</v>
      </c>
      <c r="D258" s="1040" t="str">
        <f t="shared" si="9"/>
        <v>061901</v>
      </c>
      <c r="E258" s="1040" t="s">
        <v>559</v>
      </c>
      <c r="F258" s="1040" t="str">
        <f t="shared" si="14"/>
        <v>038</v>
      </c>
      <c r="G258" s="1040" t="s">
        <v>1111</v>
      </c>
      <c r="H258" s="1041" t="str">
        <f>"18E"</f>
        <v>18E</v>
      </c>
      <c r="I258" s="1040" t="s">
        <v>1160</v>
      </c>
      <c r="J258" s="1040">
        <v>409556</v>
      </c>
      <c r="K258" s="1045">
        <v>41407</v>
      </c>
      <c r="L258" s="1040" t="s">
        <v>561</v>
      </c>
      <c r="M258" s="1041">
        <v>2009</v>
      </c>
      <c r="N258" s="1041" t="s">
        <v>576</v>
      </c>
      <c r="O258" s="1041" t="s">
        <v>576</v>
      </c>
      <c r="P258" s="1041" t="s">
        <v>576</v>
      </c>
      <c r="Q258" s="1041" t="s">
        <v>576</v>
      </c>
      <c r="R258" s="1040">
        <v>12</v>
      </c>
      <c r="S258" s="1041">
        <v>1</v>
      </c>
      <c r="T258" s="1042">
        <v>2453</v>
      </c>
      <c r="U258" s="1042">
        <v>400493</v>
      </c>
      <c r="V258" s="1042">
        <v>20440</v>
      </c>
      <c r="W258" s="1042"/>
      <c r="X258" s="1042">
        <v>163</v>
      </c>
      <c r="Y258" s="1042">
        <v>8</v>
      </c>
      <c r="Z258" s="1040" t="s">
        <v>563</v>
      </c>
      <c r="AA258" s="1040" t="s">
        <v>693</v>
      </c>
      <c r="AB258" s="1040" t="s">
        <v>637</v>
      </c>
      <c r="AC258" s="1040" t="s">
        <v>638</v>
      </c>
      <c r="AD258" s="1040" t="s">
        <v>581</v>
      </c>
      <c r="AE258" s="1054"/>
      <c r="AF258" s="1040" t="s">
        <v>582</v>
      </c>
      <c r="AG258" s="1040">
        <v>0</v>
      </c>
      <c r="AH258" s="1040" t="s">
        <v>1113</v>
      </c>
      <c r="AI258" s="1040" t="s">
        <v>594</v>
      </c>
      <c r="AJ258" s="1040" t="s">
        <v>571</v>
      </c>
      <c r="AK258" s="1041">
        <v>76208</v>
      </c>
      <c r="AL258" s="1040" t="s">
        <v>1161</v>
      </c>
      <c r="AM258" s="1040" t="s">
        <v>1162</v>
      </c>
      <c r="AN258" s="1040" t="s">
        <v>1163</v>
      </c>
      <c r="AO258" s="1040">
        <v>382000</v>
      </c>
      <c r="AP258" s="1040">
        <v>409556</v>
      </c>
    </row>
    <row r="259" spans="1:42" x14ac:dyDescent="0.3">
      <c r="A259" s="1040">
        <v>98</v>
      </c>
      <c r="B259" s="1040">
        <v>75531</v>
      </c>
      <c r="C259" s="1040" t="s">
        <v>558</v>
      </c>
      <c r="D259" s="1040" t="str">
        <f t="shared" si="9"/>
        <v>061901</v>
      </c>
      <c r="E259" s="1040" t="s">
        <v>559</v>
      </c>
      <c r="F259" s="1040" t="str">
        <f t="shared" si="14"/>
        <v>038</v>
      </c>
      <c r="G259" s="1040" t="s">
        <v>1111</v>
      </c>
      <c r="H259" s="1041" t="str">
        <f>"18F"</f>
        <v>18F</v>
      </c>
      <c r="I259" s="1040" t="s">
        <v>1164</v>
      </c>
      <c r="J259" s="1040">
        <v>409557</v>
      </c>
      <c r="K259" s="1045">
        <v>41407</v>
      </c>
      <c r="L259" s="1040" t="s">
        <v>561</v>
      </c>
      <c r="M259" s="1041">
        <v>2009</v>
      </c>
      <c r="N259" s="1041" t="s">
        <v>576</v>
      </c>
      <c r="O259" s="1041" t="s">
        <v>576</v>
      </c>
      <c r="P259" s="1041" t="s">
        <v>576</v>
      </c>
      <c r="Q259" s="1041" t="s">
        <v>576</v>
      </c>
      <c r="R259" s="1040">
        <v>16</v>
      </c>
      <c r="S259" s="1041">
        <v>1</v>
      </c>
      <c r="T259" s="1042">
        <v>1632</v>
      </c>
      <c r="U259" s="1042">
        <v>104841</v>
      </c>
      <c r="V259" s="1042">
        <v>42925</v>
      </c>
      <c r="W259" s="1042"/>
      <c r="X259" s="1042">
        <v>64</v>
      </c>
      <c r="Y259" s="1042">
        <v>26</v>
      </c>
      <c r="Z259" s="1040" t="s">
        <v>611</v>
      </c>
      <c r="AA259" s="1040" t="s">
        <v>612</v>
      </c>
      <c r="AB259" s="1040" t="s">
        <v>606</v>
      </c>
      <c r="AC259" s="1040" t="s">
        <v>606</v>
      </c>
      <c r="AD259" s="1040" t="s">
        <v>581</v>
      </c>
      <c r="AE259" s="1054"/>
      <c r="AF259" s="1040" t="s">
        <v>582</v>
      </c>
      <c r="AG259" s="1040">
        <v>0</v>
      </c>
      <c r="AH259" s="1040" t="s">
        <v>1113</v>
      </c>
      <c r="AI259" s="1040" t="s">
        <v>594</v>
      </c>
      <c r="AJ259" s="1040" t="s">
        <v>571</v>
      </c>
      <c r="AK259" s="1041">
        <v>76208</v>
      </c>
      <c r="AL259" s="1040" t="s">
        <v>1165</v>
      </c>
      <c r="AM259" s="1040" t="s">
        <v>1166</v>
      </c>
      <c r="AN259" s="1040" t="s">
        <v>664</v>
      </c>
      <c r="AO259" s="1040">
        <v>100000</v>
      </c>
      <c r="AP259" s="1040">
        <v>409557</v>
      </c>
    </row>
    <row r="260" spans="1:42" x14ac:dyDescent="0.3">
      <c r="A260" s="1040">
        <v>98</v>
      </c>
      <c r="B260" s="1040">
        <v>75531</v>
      </c>
      <c r="C260" s="1040" t="s">
        <v>558</v>
      </c>
      <c r="D260" s="1040" t="str">
        <f t="shared" si="9"/>
        <v>061901</v>
      </c>
      <c r="E260" s="1040" t="s">
        <v>559</v>
      </c>
      <c r="F260" s="1040" t="str">
        <f t="shared" si="14"/>
        <v>038</v>
      </c>
      <c r="G260" s="1040" t="s">
        <v>1111</v>
      </c>
      <c r="H260" s="1041" t="str">
        <f>"18G"</f>
        <v>18G</v>
      </c>
      <c r="I260" s="1040" t="s">
        <v>1167</v>
      </c>
      <c r="J260" s="1040">
        <v>409558</v>
      </c>
      <c r="K260" s="1045">
        <v>41407</v>
      </c>
      <c r="L260" s="1040" t="s">
        <v>561</v>
      </c>
      <c r="M260" s="1041">
        <v>2009</v>
      </c>
      <c r="N260" s="1041" t="s">
        <v>562</v>
      </c>
      <c r="O260" s="1041" t="s">
        <v>562</v>
      </c>
      <c r="P260" s="1041" t="s">
        <v>562</v>
      </c>
      <c r="Q260" s="1041" t="s">
        <v>562</v>
      </c>
      <c r="R260" s="1040">
        <v>13</v>
      </c>
      <c r="S260" s="1041">
        <v>1</v>
      </c>
      <c r="T260" s="1042">
        <v>37015</v>
      </c>
      <c r="U260" s="1042">
        <v>5394082</v>
      </c>
      <c r="V260" s="1042">
        <v>467063</v>
      </c>
      <c r="W260" s="1042"/>
      <c r="X260" s="1042">
        <v>146</v>
      </c>
      <c r="Y260" s="1042">
        <v>13</v>
      </c>
      <c r="Z260" s="1040" t="s">
        <v>563</v>
      </c>
      <c r="AA260" s="1040" t="s">
        <v>1168</v>
      </c>
      <c r="AB260" s="1040" t="s">
        <v>565</v>
      </c>
      <c r="AC260" s="1040" t="s">
        <v>566</v>
      </c>
      <c r="AD260" s="1040" t="s">
        <v>591</v>
      </c>
      <c r="AE260" s="1041"/>
      <c r="AF260" s="1040" t="s">
        <v>592</v>
      </c>
      <c r="AG260" s="1040">
        <v>0</v>
      </c>
      <c r="AH260" s="1040" t="s">
        <v>1113</v>
      </c>
      <c r="AI260" s="1040" t="s">
        <v>594</v>
      </c>
      <c r="AJ260" s="1040" t="s">
        <v>571</v>
      </c>
      <c r="AK260" s="1041">
        <v>76208</v>
      </c>
      <c r="AL260" s="1040" t="s">
        <v>1152</v>
      </c>
      <c r="AM260" s="1040" t="s">
        <v>1169</v>
      </c>
      <c r="AN260" s="1040" t="s">
        <v>602</v>
      </c>
      <c r="AO260" s="1040">
        <v>5145000</v>
      </c>
      <c r="AP260" s="1040">
        <v>409558</v>
      </c>
    </row>
    <row r="261" spans="1:42" x14ac:dyDescent="0.3">
      <c r="A261" s="1040">
        <v>98</v>
      </c>
      <c r="B261" s="1040">
        <v>75531</v>
      </c>
      <c r="C261" s="1040" t="s">
        <v>558</v>
      </c>
      <c r="D261" s="1040" t="str">
        <f t="shared" si="9"/>
        <v>061901</v>
      </c>
      <c r="E261" s="1040" t="s">
        <v>559</v>
      </c>
      <c r="F261" s="1040" t="str">
        <f t="shared" si="14"/>
        <v>038</v>
      </c>
      <c r="G261" s="1040" t="s">
        <v>1111</v>
      </c>
      <c r="H261" s="1041" t="str">
        <f>"18H"</f>
        <v>18H</v>
      </c>
      <c r="I261" s="1040" t="s">
        <v>1170</v>
      </c>
      <c r="J261" s="1040">
        <v>409690</v>
      </c>
      <c r="K261" s="1045">
        <v>41407</v>
      </c>
      <c r="L261" s="1040" t="s">
        <v>561</v>
      </c>
      <c r="M261" s="1041">
        <v>1991</v>
      </c>
      <c r="N261" s="1041" t="s">
        <v>576</v>
      </c>
      <c r="O261" s="1041" t="s">
        <v>576</v>
      </c>
      <c r="P261" s="1041" t="s">
        <v>576</v>
      </c>
      <c r="Q261" s="1041" t="s">
        <v>576</v>
      </c>
      <c r="R261" s="1040">
        <v>7</v>
      </c>
      <c r="S261" s="1041">
        <v>1</v>
      </c>
      <c r="T261" s="1042">
        <v>64</v>
      </c>
      <c r="U261" s="1042">
        <v>10484</v>
      </c>
      <c r="V261" s="1042">
        <v>0</v>
      </c>
      <c r="W261" s="1042"/>
      <c r="X261" s="1042">
        <v>164</v>
      </c>
      <c r="Y261" s="1042">
        <v>0</v>
      </c>
      <c r="Z261" s="1040" t="s">
        <v>604</v>
      </c>
      <c r="AA261" s="1040" t="s">
        <v>605</v>
      </c>
      <c r="AB261" s="1040" t="s">
        <v>606</v>
      </c>
      <c r="AC261" s="1040" t="s">
        <v>606</v>
      </c>
      <c r="AD261" s="1040" t="s">
        <v>581</v>
      </c>
      <c r="AE261" s="1054"/>
      <c r="AF261" s="1040" t="s">
        <v>582</v>
      </c>
      <c r="AG261" s="1040">
        <v>0</v>
      </c>
      <c r="AH261" s="1040" t="s">
        <v>1113</v>
      </c>
      <c r="AI261" s="1040" t="s">
        <v>594</v>
      </c>
      <c r="AJ261" s="1040" t="s">
        <v>571</v>
      </c>
      <c r="AK261" s="1041">
        <v>76208</v>
      </c>
      <c r="AL261" s="1040" t="s">
        <v>1171</v>
      </c>
      <c r="AM261" s="1040" t="s">
        <v>1172</v>
      </c>
      <c r="AN261" s="1040"/>
      <c r="AO261" s="1040">
        <v>10000</v>
      </c>
      <c r="AP261" s="1040">
        <v>409690</v>
      </c>
    </row>
    <row r="262" spans="1:42" x14ac:dyDescent="0.3">
      <c r="A262" s="1040">
        <v>98</v>
      </c>
      <c r="B262" s="1040">
        <v>75531</v>
      </c>
      <c r="C262" s="1040" t="s">
        <v>558</v>
      </c>
      <c r="D262" s="1040" t="str">
        <f t="shared" ref="D262:D333" si="15">"061901"</f>
        <v>061901</v>
      </c>
      <c r="E262" s="1040" t="s">
        <v>559</v>
      </c>
      <c r="F262" s="1040" t="str">
        <f t="shared" si="14"/>
        <v>038</v>
      </c>
      <c r="G262" s="1040" t="s">
        <v>1111</v>
      </c>
      <c r="H262" s="1041" t="str">
        <f>"18I"</f>
        <v>18I</v>
      </c>
      <c r="I262" s="1040" t="s">
        <v>1173</v>
      </c>
      <c r="J262" s="1040">
        <v>409691</v>
      </c>
      <c r="K262" s="1045">
        <v>41407</v>
      </c>
      <c r="L262" s="1040" t="s">
        <v>561</v>
      </c>
      <c r="M262" s="1041">
        <v>1991</v>
      </c>
      <c r="N262" s="1041" t="s">
        <v>576</v>
      </c>
      <c r="O262" s="1041" t="s">
        <v>576</v>
      </c>
      <c r="P262" s="1041" t="s">
        <v>576</v>
      </c>
      <c r="Q262" s="1041" t="s">
        <v>576</v>
      </c>
      <c r="R262" s="1040">
        <v>7</v>
      </c>
      <c r="S262" s="1041">
        <v>1</v>
      </c>
      <c r="T262" s="1042">
        <v>64</v>
      </c>
      <c r="U262" s="1042">
        <v>10484</v>
      </c>
      <c r="V262" s="1042">
        <v>0</v>
      </c>
      <c r="W262" s="1042"/>
      <c r="X262" s="1042">
        <v>164</v>
      </c>
      <c r="Y262" s="1042">
        <v>0</v>
      </c>
      <c r="Z262" s="1040" t="s">
        <v>604</v>
      </c>
      <c r="AA262" s="1040" t="s">
        <v>605</v>
      </c>
      <c r="AB262" s="1040" t="s">
        <v>606</v>
      </c>
      <c r="AC262" s="1040" t="s">
        <v>606</v>
      </c>
      <c r="AD262" s="1040" t="s">
        <v>581</v>
      </c>
      <c r="AE262" s="1054"/>
      <c r="AF262" s="1040" t="s">
        <v>582</v>
      </c>
      <c r="AG262" s="1040">
        <v>0</v>
      </c>
      <c r="AH262" s="1040" t="s">
        <v>1113</v>
      </c>
      <c r="AI262" s="1040" t="s">
        <v>594</v>
      </c>
      <c r="AJ262" s="1040" t="s">
        <v>571</v>
      </c>
      <c r="AK262" s="1041">
        <v>76208</v>
      </c>
      <c r="AL262" s="1040" t="s">
        <v>1174</v>
      </c>
      <c r="AM262" s="1040" t="s">
        <v>1175</v>
      </c>
      <c r="AN262" s="1040"/>
      <c r="AO262" s="1040">
        <v>10000</v>
      </c>
      <c r="AP262" s="1040">
        <v>409691</v>
      </c>
    </row>
    <row r="263" spans="1:42" x14ac:dyDescent="0.3">
      <c r="A263" s="1040">
        <v>98</v>
      </c>
      <c r="B263" s="1040">
        <v>75531</v>
      </c>
      <c r="C263" s="1040" t="s">
        <v>558</v>
      </c>
      <c r="D263" s="1040" t="str">
        <f t="shared" si="15"/>
        <v>061901</v>
      </c>
      <c r="E263" s="1040" t="s">
        <v>559</v>
      </c>
      <c r="F263" s="1040" t="str">
        <f t="shared" si="14"/>
        <v>038</v>
      </c>
      <c r="G263" s="1040" t="s">
        <v>1111</v>
      </c>
      <c r="H263" s="1041" t="str">
        <f>"18J"</f>
        <v>18J</v>
      </c>
      <c r="I263" s="1040" t="s">
        <v>1176</v>
      </c>
      <c r="J263" s="1040">
        <v>409559</v>
      </c>
      <c r="K263" s="1045">
        <v>41407</v>
      </c>
      <c r="L263" s="1040" t="s">
        <v>561</v>
      </c>
      <c r="M263" s="1041">
        <v>2010</v>
      </c>
      <c r="N263" s="1041" t="s">
        <v>576</v>
      </c>
      <c r="O263" s="1041" t="s">
        <v>576</v>
      </c>
      <c r="P263" s="1041" t="s">
        <v>576</v>
      </c>
      <c r="Q263" s="1041" t="s">
        <v>576</v>
      </c>
      <c r="R263" s="1040">
        <v>10</v>
      </c>
      <c r="S263" s="1041">
        <v>1</v>
      </c>
      <c r="T263" s="1042">
        <v>1275</v>
      </c>
      <c r="U263" s="1042">
        <v>59759</v>
      </c>
      <c r="V263" s="1042">
        <v>2026</v>
      </c>
      <c r="W263" s="1042"/>
      <c r="X263" s="1042">
        <v>47</v>
      </c>
      <c r="Y263" s="1042">
        <v>2</v>
      </c>
      <c r="Z263" s="1040" t="s">
        <v>1177</v>
      </c>
      <c r="AA263" s="1040" t="s">
        <v>1178</v>
      </c>
      <c r="AB263" s="1040" t="s">
        <v>1179</v>
      </c>
      <c r="AC263" s="1040" t="s">
        <v>1180</v>
      </c>
      <c r="AD263" s="1040" t="s">
        <v>1181</v>
      </c>
      <c r="AE263" s="1041"/>
      <c r="AF263" s="1040" t="s">
        <v>582</v>
      </c>
      <c r="AG263" s="1040">
        <v>0</v>
      </c>
      <c r="AH263" s="1040" t="s">
        <v>1113</v>
      </c>
      <c r="AI263" s="1040" t="s">
        <v>594</v>
      </c>
      <c r="AJ263" s="1040" t="s">
        <v>571</v>
      </c>
      <c r="AK263" s="1041">
        <v>76208</v>
      </c>
      <c r="AL263" s="1040" t="s">
        <v>1182</v>
      </c>
      <c r="AM263" s="1040" t="s">
        <v>1135</v>
      </c>
      <c r="AN263" s="1040"/>
      <c r="AO263" s="1040">
        <v>57000</v>
      </c>
      <c r="AP263" s="1040">
        <v>409559</v>
      </c>
    </row>
    <row r="264" spans="1:42" x14ac:dyDescent="0.3">
      <c r="A264" s="1040">
        <v>98</v>
      </c>
      <c r="B264" s="1040">
        <v>75531</v>
      </c>
      <c r="C264" s="1040" t="s">
        <v>558</v>
      </c>
      <c r="D264" s="1040" t="str">
        <f t="shared" si="15"/>
        <v>061901</v>
      </c>
      <c r="E264" s="1040" t="s">
        <v>559</v>
      </c>
      <c r="F264" s="1040" t="str">
        <f t="shared" si="14"/>
        <v>038</v>
      </c>
      <c r="G264" s="1040" t="s">
        <v>1111</v>
      </c>
      <c r="H264" s="1041" t="str">
        <f>"18K"</f>
        <v>18K</v>
      </c>
      <c r="I264" s="1040" t="s">
        <v>1183</v>
      </c>
      <c r="J264" s="1040">
        <v>409692</v>
      </c>
      <c r="K264" s="1045">
        <v>41407</v>
      </c>
      <c r="L264" s="1040" t="s">
        <v>561</v>
      </c>
      <c r="M264" s="1041">
        <v>2001</v>
      </c>
      <c r="N264" s="1041" t="s">
        <v>576</v>
      </c>
      <c r="O264" s="1041" t="s">
        <v>576</v>
      </c>
      <c r="P264" s="1041" t="s">
        <v>576</v>
      </c>
      <c r="Q264" s="1041" t="s">
        <v>576</v>
      </c>
      <c r="R264" s="1040">
        <v>13</v>
      </c>
      <c r="S264" s="1041">
        <v>1</v>
      </c>
      <c r="T264" s="1042">
        <v>968</v>
      </c>
      <c r="U264" s="1042">
        <v>81776</v>
      </c>
      <c r="V264" s="1042">
        <v>4088</v>
      </c>
      <c r="W264" s="1042"/>
      <c r="X264" s="1042">
        <v>84</v>
      </c>
      <c r="Y264" s="1042">
        <v>4</v>
      </c>
      <c r="Z264" s="1040" t="s">
        <v>604</v>
      </c>
      <c r="AA264" s="1040" t="s">
        <v>620</v>
      </c>
      <c r="AB264" s="1040" t="s">
        <v>606</v>
      </c>
      <c r="AC264" s="1040" t="s">
        <v>606</v>
      </c>
      <c r="AD264" s="1040" t="s">
        <v>581</v>
      </c>
      <c r="AE264" s="1054"/>
      <c r="AF264" s="1040" t="s">
        <v>582</v>
      </c>
      <c r="AG264" s="1040">
        <v>0</v>
      </c>
      <c r="AH264" s="1040" t="s">
        <v>1113</v>
      </c>
      <c r="AI264" s="1040" t="s">
        <v>594</v>
      </c>
      <c r="AJ264" s="1040" t="s">
        <v>571</v>
      </c>
      <c r="AK264" s="1041">
        <v>76208</v>
      </c>
      <c r="AL264" s="1040" t="s">
        <v>1184</v>
      </c>
      <c r="AM264" s="1040" t="s">
        <v>1135</v>
      </c>
      <c r="AN264" s="1040" t="s">
        <v>1185</v>
      </c>
      <c r="AO264" s="1040">
        <v>78000</v>
      </c>
      <c r="AP264" s="1040">
        <v>409692</v>
      </c>
    </row>
    <row r="265" spans="1:42" x14ac:dyDescent="0.3">
      <c r="A265" s="1040">
        <v>98</v>
      </c>
      <c r="B265" s="1040">
        <v>75531</v>
      </c>
      <c r="C265" s="1040" t="s">
        <v>558</v>
      </c>
      <c r="D265" s="1040" t="str">
        <f t="shared" si="15"/>
        <v>061901</v>
      </c>
      <c r="E265" s="1040" t="s">
        <v>559</v>
      </c>
      <c r="F265" s="1040" t="str">
        <f t="shared" si="14"/>
        <v>038</v>
      </c>
      <c r="G265" s="1040" t="s">
        <v>1111</v>
      </c>
      <c r="H265" s="1041" t="str">
        <f>"18L"</f>
        <v>18L</v>
      </c>
      <c r="I265" s="1040" t="s">
        <v>671</v>
      </c>
      <c r="J265" s="1040">
        <v>409693</v>
      </c>
      <c r="K265" s="1045">
        <v>41407</v>
      </c>
      <c r="L265" s="1040" t="s">
        <v>561</v>
      </c>
      <c r="M265" s="1041">
        <v>2001</v>
      </c>
      <c r="N265" s="1041" t="s">
        <v>576</v>
      </c>
      <c r="O265" s="1041" t="s">
        <v>576</v>
      </c>
      <c r="P265" s="1041" t="s">
        <v>576</v>
      </c>
      <c r="Q265" s="1041" t="s">
        <v>576</v>
      </c>
      <c r="R265" s="1040">
        <v>9</v>
      </c>
      <c r="S265" s="1041">
        <v>1</v>
      </c>
      <c r="T265" s="1042">
        <v>90</v>
      </c>
      <c r="U265" s="1042">
        <v>7339</v>
      </c>
      <c r="V265" s="1042">
        <v>0</v>
      </c>
      <c r="W265" s="1042"/>
      <c r="X265" s="1042">
        <v>82</v>
      </c>
      <c r="Y265" s="1042">
        <v>0</v>
      </c>
      <c r="Z265" s="1040" t="s">
        <v>604</v>
      </c>
      <c r="AA265" s="1040" t="s">
        <v>632</v>
      </c>
      <c r="AB265" s="1040" t="s">
        <v>606</v>
      </c>
      <c r="AC265" s="1040" t="s">
        <v>606</v>
      </c>
      <c r="AD265" s="1040" t="s">
        <v>581</v>
      </c>
      <c r="AE265" s="1054"/>
      <c r="AF265" s="1040" t="s">
        <v>582</v>
      </c>
      <c r="AG265" s="1040">
        <v>0</v>
      </c>
      <c r="AH265" s="1040" t="s">
        <v>1113</v>
      </c>
      <c r="AI265" s="1040" t="s">
        <v>594</v>
      </c>
      <c r="AJ265" s="1040" t="s">
        <v>571</v>
      </c>
      <c r="AK265" s="1041">
        <v>76208</v>
      </c>
      <c r="AL265" s="1040" t="s">
        <v>1186</v>
      </c>
      <c r="AM265" s="1040" t="s">
        <v>1187</v>
      </c>
      <c r="AN265" s="1040"/>
      <c r="AO265" s="1040">
        <v>7000</v>
      </c>
      <c r="AP265" s="1040">
        <v>409693</v>
      </c>
    </row>
    <row r="266" spans="1:42" x14ac:dyDescent="0.3">
      <c r="A266" s="1040">
        <v>98</v>
      </c>
      <c r="B266" s="1040">
        <v>75531</v>
      </c>
      <c r="C266" s="1040" t="s">
        <v>558</v>
      </c>
      <c r="D266" s="1040" t="str">
        <f t="shared" si="15"/>
        <v>061901</v>
      </c>
      <c r="E266" s="1040" t="s">
        <v>559</v>
      </c>
      <c r="F266" s="1040" t="str">
        <f t="shared" si="14"/>
        <v>038</v>
      </c>
      <c r="G266" s="1040" t="s">
        <v>1111</v>
      </c>
      <c r="H266" s="1041" t="str">
        <f>"18M"</f>
        <v>18M</v>
      </c>
      <c r="I266" s="1040" t="s">
        <v>666</v>
      </c>
      <c r="J266" s="1040">
        <v>409694</v>
      </c>
      <c r="K266" s="1045">
        <v>41407</v>
      </c>
      <c r="L266" s="1040" t="s">
        <v>561</v>
      </c>
      <c r="M266" s="1041">
        <v>2001</v>
      </c>
      <c r="N266" s="1041" t="s">
        <v>576</v>
      </c>
      <c r="O266" s="1041" t="s">
        <v>576</v>
      </c>
      <c r="P266" s="1041" t="s">
        <v>576</v>
      </c>
      <c r="Q266" s="1041" t="s">
        <v>576</v>
      </c>
      <c r="R266" s="1040">
        <v>8</v>
      </c>
      <c r="S266" s="1041">
        <v>1</v>
      </c>
      <c r="T266" s="1042">
        <v>360</v>
      </c>
      <c r="U266" s="1042">
        <v>18871</v>
      </c>
      <c r="V266" s="1042">
        <v>1013</v>
      </c>
      <c r="W266" s="1042"/>
      <c r="X266" s="1042">
        <v>52</v>
      </c>
      <c r="Y266" s="1042">
        <v>3</v>
      </c>
      <c r="Z266" s="1040" t="s">
        <v>563</v>
      </c>
      <c r="AA266" s="1040" t="s">
        <v>632</v>
      </c>
      <c r="AB266" s="1040" t="s">
        <v>606</v>
      </c>
      <c r="AC266" s="1040" t="s">
        <v>606</v>
      </c>
      <c r="AD266" s="1040" t="s">
        <v>581</v>
      </c>
      <c r="AE266" s="1054"/>
      <c r="AF266" s="1040" t="s">
        <v>582</v>
      </c>
      <c r="AG266" s="1040">
        <v>0</v>
      </c>
      <c r="AH266" s="1040" t="s">
        <v>1113</v>
      </c>
      <c r="AI266" s="1040" t="s">
        <v>594</v>
      </c>
      <c r="AJ266" s="1040" t="s">
        <v>571</v>
      </c>
      <c r="AK266" s="1041">
        <v>76208</v>
      </c>
      <c r="AL266" s="1040" t="s">
        <v>1188</v>
      </c>
      <c r="AM266" s="1040" t="s">
        <v>1189</v>
      </c>
      <c r="AN266" s="1040"/>
      <c r="AO266" s="1040">
        <v>18000</v>
      </c>
      <c r="AP266" s="1040">
        <v>409694</v>
      </c>
    </row>
    <row r="267" spans="1:42" x14ac:dyDescent="0.3">
      <c r="A267" s="1040">
        <v>98</v>
      </c>
      <c r="B267" s="1040">
        <v>75531</v>
      </c>
      <c r="C267" s="1040" t="s">
        <v>558</v>
      </c>
      <c r="D267" s="1040" t="str">
        <f t="shared" si="15"/>
        <v>061901</v>
      </c>
      <c r="E267" s="1040" t="s">
        <v>559</v>
      </c>
      <c r="F267" s="1040" t="str">
        <f t="shared" si="14"/>
        <v>038</v>
      </c>
      <c r="G267" s="1040" t="s">
        <v>1111</v>
      </c>
      <c r="H267" s="1041" t="str">
        <f>"18N"</f>
        <v>18N</v>
      </c>
      <c r="I267" s="1040" t="s">
        <v>668</v>
      </c>
      <c r="J267" s="1040">
        <v>409695</v>
      </c>
      <c r="K267" s="1045">
        <v>41407</v>
      </c>
      <c r="L267" s="1040" t="s">
        <v>561</v>
      </c>
      <c r="M267" s="1041">
        <v>2001</v>
      </c>
      <c r="N267" s="1041" t="s">
        <v>576</v>
      </c>
      <c r="O267" s="1041" t="s">
        <v>576</v>
      </c>
      <c r="P267" s="1041" t="s">
        <v>576</v>
      </c>
      <c r="Q267" s="1041" t="s">
        <v>576</v>
      </c>
      <c r="R267" s="1040">
        <v>8</v>
      </c>
      <c r="S267" s="1041">
        <v>1</v>
      </c>
      <c r="T267" s="1042">
        <v>360</v>
      </c>
      <c r="U267" s="1042">
        <v>18871</v>
      </c>
      <c r="V267" s="1042">
        <v>1013</v>
      </c>
      <c r="W267" s="1042"/>
      <c r="X267" s="1042">
        <v>52</v>
      </c>
      <c r="Y267" s="1042">
        <v>3</v>
      </c>
      <c r="Z267" s="1040" t="s">
        <v>563</v>
      </c>
      <c r="AA267" s="1040" t="s">
        <v>632</v>
      </c>
      <c r="AB267" s="1040" t="s">
        <v>606</v>
      </c>
      <c r="AC267" s="1040" t="s">
        <v>606</v>
      </c>
      <c r="AD267" s="1040" t="s">
        <v>581</v>
      </c>
      <c r="AE267" s="1054"/>
      <c r="AF267" s="1040" t="s">
        <v>582</v>
      </c>
      <c r="AG267" s="1040">
        <v>0</v>
      </c>
      <c r="AH267" s="1040" t="s">
        <v>1113</v>
      </c>
      <c r="AI267" s="1040" t="s">
        <v>594</v>
      </c>
      <c r="AJ267" s="1040" t="s">
        <v>571</v>
      </c>
      <c r="AK267" s="1041">
        <v>76208</v>
      </c>
      <c r="AL267" s="1040" t="s">
        <v>1190</v>
      </c>
      <c r="AM267" s="1040" t="s">
        <v>1191</v>
      </c>
      <c r="AN267" s="1040"/>
      <c r="AO267" s="1040">
        <v>18000</v>
      </c>
      <c r="AP267" s="1040">
        <v>409695</v>
      </c>
    </row>
    <row r="268" spans="1:42" x14ac:dyDescent="0.3">
      <c r="A268" s="1040">
        <v>98</v>
      </c>
      <c r="B268" s="1040">
        <v>75531</v>
      </c>
      <c r="C268" s="1040" t="s">
        <v>558</v>
      </c>
      <c r="D268" s="1040" t="str">
        <f t="shared" si="15"/>
        <v>061901</v>
      </c>
      <c r="E268" s="1040" t="s">
        <v>559</v>
      </c>
      <c r="F268" s="1040" t="str">
        <f t="shared" si="14"/>
        <v>038</v>
      </c>
      <c r="G268" s="1040" t="s">
        <v>1111</v>
      </c>
      <c r="H268" s="1041" t="str">
        <f>"18O"</f>
        <v>18O</v>
      </c>
      <c r="I268" s="1040" t="s">
        <v>1192</v>
      </c>
      <c r="J268" s="1040">
        <v>409696</v>
      </c>
      <c r="K268" s="1045">
        <v>41407</v>
      </c>
      <c r="L268" s="1040" t="s">
        <v>561</v>
      </c>
      <c r="M268" s="1041">
        <v>1991</v>
      </c>
      <c r="N268" s="1041" t="s">
        <v>576</v>
      </c>
      <c r="O268" s="1041" t="s">
        <v>576</v>
      </c>
      <c r="P268" s="1041" t="s">
        <v>576</v>
      </c>
      <c r="Q268" s="1041" t="s">
        <v>576</v>
      </c>
      <c r="R268" s="1040">
        <v>8</v>
      </c>
      <c r="S268" s="1041">
        <v>1</v>
      </c>
      <c r="T268" s="1042">
        <v>192</v>
      </c>
      <c r="U268" s="1042">
        <v>434043</v>
      </c>
      <c r="V268" s="1042">
        <v>0</v>
      </c>
      <c r="W268" s="1042"/>
      <c r="X268" s="1042">
        <v>2261</v>
      </c>
      <c r="Y268" s="1042">
        <v>0</v>
      </c>
      <c r="Z268" s="1040" t="s">
        <v>577</v>
      </c>
      <c r="AA268" s="1040" t="s">
        <v>615</v>
      </c>
      <c r="AB268" s="1040" t="s">
        <v>606</v>
      </c>
      <c r="AC268" s="1040" t="s">
        <v>606</v>
      </c>
      <c r="AD268" s="1040" t="s">
        <v>581</v>
      </c>
      <c r="AE268" s="1054"/>
      <c r="AF268" s="1040" t="s">
        <v>592</v>
      </c>
      <c r="AG268" s="1040">
        <v>0</v>
      </c>
      <c r="AH268" s="1040" t="s">
        <v>1113</v>
      </c>
      <c r="AI268" s="1040" t="s">
        <v>594</v>
      </c>
      <c r="AJ268" s="1040" t="s">
        <v>571</v>
      </c>
      <c r="AK268" s="1041">
        <v>76208</v>
      </c>
      <c r="AL268" s="1040" t="s">
        <v>1193</v>
      </c>
      <c r="AM268" s="1040" t="s">
        <v>1194</v>
      </c>
      <c r="AN268" s="1040" t="s">
        <v>628</v>
      </c>
      <c r="AO268" s="1040">
        <v>414000</v>
      </c>
      <c r="AP268" s="1040">
        <v>409696</v>
      </c>
    </row>
    <row r="269" spans="1:42" x14ac:dyDescent="0.3">
      <c r="A269" s="1040">
        <v>98</v>
      </c>
      <c r="B269" s="1040">
        <v>75531</v>
      </c>
      <c r="C269" s="1040" t="s">
        <v>558</v>
      </c>
      <c r="D269" s="1040" t="str">
        <f t="shared" si="15"/>
        <v>061901</v>
      </c>
      <c r="E269" s="1040" t="s">
        <v>559</v>
      </c>
      <c r="F269" s="1040" t="str">
        <f t="shared" si="14"/>
        <v>038</v>
      </c>
      <c r="G269" s="1040" t="s">
        <v>1111</v>
      </c>
      <c r="H269" s="1041" t="str">
        <f>"18P"</f>
        <v>18P</v>
      </c>
      <c r="I269" s="1040" t="s">
        <v>661</v>
      </c>
      <c r="J269" s="1040">
        <v>409697</v>
      </c>
      <c r="K269" s="1045">
        <v>41407</v>
      </c>
      <c r="L269" s="1040" t="s">
        <v>561</v>
      </c>
      <c r="M269" s="1041">
        <v>1991</v>
      </c>
      <c r="N269" s="1041" t="s">
        <v>576</v>
      </c>
      <c r="O269" s="1041" t="s">
        <v>576</v>
      </c>
      <c r="P269" s="1041" t="s">
        <v>576</v>
      </c>
      <c r="Q269" s="1041" t="s">
        <v>576</v>
      </c>
      <c r="R269" s="1040">
        <v>10</v>
      </c>
      <c r="S269" s="1041">
        <v>1</v>
      </c>
      <c r="T269" s="1042">
        <v>120</v>
      </c>
      <c r="U269" s="1042">
        <v>8388</v>
      </c>
      <c r="V269" s="1042">
        <v>2026</v>
      </c>
      <c r="W269" s="1042"/>
      <c r="X269" s="1042">
        <v>70</v>
      </c>
      <c r="Y269" s="1042">
        <v>17</v>
      </c>
      <c r="Z269" s="1040" t="s">
        <v>577</v>
      </c>
      <c r="AA269" s="1040" t="s">
        <v>615</v>
      </c>
      <c r="AB269" s="1040" t="s">
        <v>606</v>
      </c>
      <c r="AC269" s="1040" t="s">
        <v>606</v>
      </c>
      <c r="AD269" s="1040" t="s">
        <v>616</v>
      </c>
      <c r="AE269" s="1055"/>
      <c r="AF269" s="1040" t="s">
        <v>582</v>
      </c>
      <c r="AG269" s="1040">
        <v>0</v>
      </c>
      <c r="AH269" s="1040" t="s">
        <v>1113</v>
      </c>
      <c r="AI269" s="1040" t="s">
        <v>594</v>
      </c>
      <c r="AJ269" s="1040" t="s">
        <v>571</v>
      </c>
      <c r="AK269" s="1041">
        <v>76208</v>
      </c>
      <c r="AL269" s="1040" t="s">
        <v>1195</v>
      </c>
      <c r="AM269" s="1040" t="s">
        <v>1196</v>
      </c>
      <c r="AN269" s="1040" t="s">
        <v>664</v>
      </c>
      <c r="AO269" s="1040">
        <v>8000</v>
      </c>
      <c r="AP269" s="1040">
        <v>409697</v>
      </c>
    </row>
    <row r="270" spans="1:42" x14ac:dyDescent="0.3">
      <c r="A270" s="1040">
        <v>98</v>
      </c>
      <c r="B270" s="1040">
        <v>75531</v>
      </c>
      <c r="C270" s="1040" t="s">
        <v>558</v>
      </c>
      <c r="D270" s="1040" t="str">
        <f t="shared" si="15"/>
        <v>061901</v>
      </c>
      <c r="E270" s="1040" t="s">
        <v>559</v>
      </c>
      <c r="F270" s="1040" t="str">
        <f t="shared" si="14"/>
        <v>038</v>
      </c>
      <c r="G270" s="1040" t="s">
        <v>1111</v>
      </c>
      <c r="H270" s="1041" t="str">
        <f>"18Q"</f>
        <v>18Q</v>
      </c>
      <c r="I270" s="1040" t="s">
        <v>1197</v>
      </c>
      <c r="J270" s="1040">
        <v>409560</v>
      </c>
      <c r="K270" s="1045">
        <v>41407</v>
      </c>
      <c r="L270" s="1040" t="s">
        <v>561</v>
      </c>
      <c r="M270" s="1041">
        <v>2011</v>
      </c>
      <c r="N270" s="1041" t="s">
        <v>576</v>
      </c>
      <c r="O270" s="1041" t="s">
        <v>576</v>
      </c>
      <c r="P270" s="1041" t="s">
        <v>576</v>
      </c>
      <c r="Q270" s="1041" t="s">
        <v>576</v>
      </c>
      <c r="R270" s="1040">
        <v>18</v>
      </c>
      <c r="S270" s="1041">
        <v>1</v>
      </c>
      <c r="T270" s="1042">
        <v>3458</v>
      </c>
      <c r="U270" s="1042">
        <v>126858</v>
      </c>
      <c r="V270" s="1042">
        <v>6132</v>
      </c>
      <c r="W270" s="1042"/>
      <c r="X270" s="1042">
        <v>37</v>
      </c>
      <c r="Y270" s="1042">
        <v>2</v>
      </c>
      <c r="Z270" s="1040" t="s">
        <v>611</v>
      </c>
      <c r="AA270" s="1040" t="s">
        <v>1198</v>
      </c>
      <c r="AB270" s="1040" t="s">
        <v>606</v>
      </c>
      <c r="AC270" s="1040" t="s">
        <v>606</v>
      </c>
      <c r="AD270" s="1040" t="s">
        <v>581</v>
      </c>
      <c r="AE270" s="1054"/>
      <c r="AF270" s="1040" t="s">
        <v>582</v>
      </c>
      <c r="AG270" s="1040">
        <v>0</v>
      </c>
      <c r="AH270" s="1040" t="s">
        <v>1113</v>
      </c>
      <c r="AI270" s="1040" t="s">
        <v>594</v>
      </c>
      <c r="AJ270" s="1040" t="s">
        <v>571</v>
      </c>
      <c r="AK270" s="1041">
        <v>76208</v>
      </c>
      <c r="AL270" s="1040" t="s">
        <v>1199</v>
      </c>
      <c r="AM270" s="1040" t="s">
        <v>1200</v>
      </c>
      <c r="AN270" s="1040"/>
      <c r="AO270" s="1040">
        <v>121000</v>
      </c>
      <c r="AP270" s="1040">
        <v>409560</v>
      </c>
    </row>
    <row r="271" spans="1:42" x14ac:dyDescent="0.3">
      <c r="A271" s="1040">
        <v>98</v>
      </c>
      <c r="B271" s="1040">
        <v>75531</v>
      </c>
      <c r="C271" s="1040" t="s">
        <v>558</v>
      </c>
      <c r="D271" s="1040" t="str">
        <f t="shared" si="15"/>
        <v>061901</v>
      </c>
      <c r="E271" s="1040" t="s">
        <v>559</v>
      </c>
      <c r="F271" s="1040" t="str">
        <f t="shared" si="14"/>
        <v>038</v>
      </c>
      <c r="G271" s="1040" t="s">
        <v>1111</v>
      </c>
      <c r="H271" s="1041" t="str">
        <f>"18R"</f>
        <v>18R</v>
      </c>
      <c r="I271" s="1040" t="s">
        <v>1201</v>
      </c>
      <c r="J271" s="1040">
        <v>409698</v>
      </c>
      <c r="K271" s="1045">
        <v>41407</v>
      </c>
      <c r="L271" s="1040" t="s">
        <v>561</v>
      </c>
      <c r="M271" s="1041">
        <v>2001</v>
      </c>
      <c r="N271" s="1041" t="s">
        <v>576</v>
      </c>
      <c r="O271" s="1041" t="s">
        <v>576</v>
      </c>
      <c r="P271" s="1041" t="s">
        <v>576</v>
      </c>
      <c r="Q271" s="1041" t="s">
        <v>576</v>
      </c>
      <c r="R271" s="1040">
        <v>8</v>
      </c>
      <c r="S271" s="1041">
        <v>1</v>
      </c>
      <c r="T271" s="1042">
        <v>192</v>
      </c>
      <c r="U271" s="1042">
        <v>8388</v>
      </c>
      <c r="V271" s="1042">
        <v>2026</v>
      </c>
      <c r="W271" s="1042"/>
      <c r="X271" s="1042">
        <v>44</v>
      </c>
      <c r="Y271" s="1042">
        <v>11</v>
      </c>
      <c r="Z271" s="1040" t="s">
        <v>611</v>
      </c>
      <c r="AA271" s="1040" t="s">
        <v>612</v>
      </c>
      <c r="AB271" s="1040" t="s">
        <v>606</v>
      </c>
      <c r="AC271" s="1040" t="s">
        <v>606</v>
      </c>
      <c r="AD271" s="1040" t="s">
        <v>581</v>
      </c>
      <c r="AE271" s="1054"/>
      <c r="AF271" s="1040" t="s">
        <v>582</v>
      </c>
      <c r="AG271" s="1040">
        <v>0</v>
      </c>
      <c r="AH271" s="1040" t="s">
        <v>1113</v>
      </c>
      <c r="AI271" s="1040" t="s">
        <v>594</v>
      </c>
      <c r="AJ271" s="1040" t="s">
        <v>571</v>
      </c>
      <c r="AK271" s="1041">
        <v>76208</v>
      </c>
      <c r="AL271" s="1040" t="s">
        <v>1202</v>
      </c>
      <c r="AM271" s="1040" t="s">
        <v>1203</v>
      </c>
      <c r="AN271" s="1040"/>
      <c r="AO271" s="1040">
        <v>8000</v>
      </c>
      <c r="AP271" s="1040">
        <v>409698</v>
      </c>
    </row>
    <row r="272" spans="1:42" x14ac:dyDescent="0.3">
      <c r="A272" s="1040">
        <v>98</v>
      </c>
      <c r="B272" s="1040">
        <v>75531</v>
      </c>
      <c r="C272" s="1040" t="s">
        <v>558</v>
      </c>
      <c r="D272" s="1040" t="str">
        <f t="shared" si="15"/>
        <v>061901</v>
      </c>
      <c r="E272" s="1040" t="s">
        <v>559</v>
      </c>
      <c r="F272" s="1040" t="str">
        <f t="shared" si="14"/>
        <v>038</v>
      </c>
      <c r="G272" s="1040" t="s">
        <v>1111</v>
      </c>
      <c r="H272" s="1041" t="str">
        <f>"18S"</f>
        <v>18S</v>
      </c>
      <c r="I272" s="1040" t="s">
        <v>1204</v>
      </c>
      <c r="J272" s="1040">
        <v>409699</v>
      </c>
      <c r="K272" s="1045">
        <v>41407</v>
      </c>
      <c r="L272" s="1040" t="s">
        <v>561</v>
      </c>
      <c r="M272" s="1041">
        <v>2009</v>
      </c>
      <c r="N272" s="1041" t="s">
        <v>576</v>
      </c>
      <c r="O272" s="1041" t="s">
        <v>576</v>
      </c>
      <c r="P272" s="1041" t="s">
        <v>576</v>
      </c>
      <c r="Q272" s="1041" t="s">
        <v>576</v>
      </c>
      <c r="R272" s="1040">
        <v>8</v>
      </c>
      <c r="S272" s="1041">
        <v>1</v>
      </c>
      <c r="T272" s="1042">
        <v>96</v>
      </c>
      <c r="U272" s="1042">
        <v>4194</v>
      </c>
      <c r="V272" s="1042">
        <v>1013</v>
      </c>
      <c r="W272" s="1042"/>
      <c r="X272" s="1042">
        <v>44</v>
      </c>
      <c r="Y272" s="1042">
        <v>11</v>
      </c>
      <c r="Z272" s="1040" t="s">
        <v>577</v>
      </c>
      <c r="AA272" s="1040" t="s">
        <v>615</v>
      </c>
      <c r="AB272" s="1040" t="s">
        <v>606</v>
      </c>
      <c r="AC272" s="1040" t="s">
        <v>606</v>
      </c>
      <c r="AD272" s="1040" t="s">
        <v>616</v>
      </c>
      <c r="AE272" s="1054"/>
      <c r="AF272" s="1040" t="s">
        <v>582</v>
      </c>
      <c r="AG272" s="1040">
        <v>0</v>
      </c>
      <c r="AH272" s="1040" t="s">
        <v>1113</v>
      </c>
      <c r="AI272" s="1040" t="s">
        <v>594</v>
      </c>
      <c r="AJ272" s="1040" t="s">
        <v>571</v>
      </c>
      <c r="AK272" s="1041">
        <v>76208</v>
      </c>
      <c r="AL272" s="1040" t="s">
        <v>1205</v>
      </c>
      <c r="AM272" s="1040" t="s">
        <v>1147</v>
      </c>
      <c r="AN272" s="1040"/>
      <c r="AO272" s="1040">
        <v>4000</v>
      </c>
      <c r="AP272" s="1040">
        <v>409699</v>
      </c>
    </row>
    <row r="273" spans="1:42" x14ac:dyDescent="0.3">
      <c r="A273" s="1040">
        <v>98</v>
      </c>
      <c r="B273" s="1040">
        <v>75531</v>
      </c>
      <c r="C273" s="1040" t="s">
        <v>558</v>
      </c>
      <c r="D273" s="1040" t="str">
        <f t="shared" si="15"/>
        <v>061901</v>
      </c>
      <c r="E273" s="1040" t="s">
        <v>559</v>
      </c>
      <c r="F273" s="1040" t="str">
        <f t="shared" si="14"/>
        <v>038</v>
      </c>
      <c r="G273" s="1040" t="s">
        <v>1111</v>
      </c>
      <c r="H273" s="1041" t="str">
        <f>"18T"</f>
        <v>18T</v>
      </c>
      <c r="I273" s="1040" t="s">
        <v>1206</v>
      </c>
      <c r="J273" s="1040">
        <v>409700</v>
      </c>
      <c r="K273" s="1045">
        <v>41407</v>
      </c>
      <c r="L273" s="1040" t="s">
        <v>561</v>
      </c>
      <c r="M273" s="1041">
        <v>2009</v>
      </c>
      <c r="N273" s="1041" t="s">
        <v>576</v>
      </c>
      <c r="O273" s="1041" t="s">
        <v>576</v>
      </c>
      <c r="P273" s="1041" t="s">
        <v>576</v>
      </c>
      <c r="Q273" s="1041" t="s">
        <v>576</v>
      </c>
      <c r="R273" s="1040">
        <v>8</v>
      </c>
      <c r="S273" s="1041">
        <v>1</v>
      </c>
      <c r="T273" s="1042">
        <v>64</v>
      </c>
      <c r="U273" s="1042">
        <v>16774</v>
      </c>
      <c r="V273" s="1042">
        <v>0</v>
      </c>
      <c r="W273" s="1042"/>
      <c r="X273" s="1042">
        <v>262</v>
      </c>
      <c r="Y273" s="1042">
        <v>0</v>
      </c>
      <c r="Z273" s="1040" t="s">
        <v>604</v>
      </c>
      <c r="AA273" s="1040" t="s">
        <v>632</v>
      </c>
      <c r="AB273" s="1040" t="s">
        <v>606</v>
      </c>
      <c r="AC273" s="1040" t="s">
        <v>606</v>
      </c>
      <c r="AD273" s="1040" t="s">
        <v>581</v>
      </c>
      <c r="AE273" s="1054"/>
      <c r="AF273" s="1040" t="s">
        <v>582</v>
      </c>
      <c r="AG273" s="1040">
        <v>0</v>
      </c>
      <c r="AH273" s="1040" t="s">
        <v>1113</v>
      </c>
      <c r="AI273" s="1040" t="s">
        <v>594</v>
      </c>
      <c r="AJ273" s="1040" t="s">
        <v>571</v>
      </c>
      <c r="AK273" s="1041">
        <v>76208</v>
      </c>
      <c r="AL273" s="1040" t="s">
        <v>1207</v>
      </c>
      <c r="AM273" s="1040" t="s">
        <v>1145</v>
      </c>
      <c r="AN273" s="1040"/>
      <c r="AO273" s="1040">
        <v>16000</v>
      </c>
      <c r="AP273" s="1040">
        <v>409700</v>
      </c>
    </row>
    <row r="274" spans="1:42" x14ac:dyDescent="0.3">
      <c r="A274" s="1040">
        <v>98</v>
      </c>
      <c r="B274" s="1040">
        <v>75531</v>
      </c>
      <c r="C274" s="1040" t="s">
        <v>558</v>
      </c>
      <c r="D274" s="1040" t="str">
        <f t="shared" si="15"/>
        <v>061901</v>
      </c>
      <c r="E274" s="1040" t="s">
        <v>559</v>
      </c>
      <c r="F274" s="1040" t="str">
        <f t="shared" si="14"/>
        <v>038</v>
      </c>
      <c r="G274" s="1040" t="s">
        <v>1111</v>
      </c>
      <c r="H274" s="1041" t="str">
        <f>"18U"</f>
        <v>18U</v>
      </c>
      <c r="I274" s="1040" t="s">
        <v>1208</v>
      </c>
      <c r="J274" s="1040">
        <v>409701</v>
      </c>
      <c r="K274" s="1045">
        <v>41407</v>
      </c>
      <c r="L274" s="1040" t="s">
        <v>561</v>
      </c>
      <c r="M274" s="1041">
        <v>1991</v>
      </c>
      <c r="N274" s="1041" t="s">
        <v>576</v>
      </c>
      <c r="O274" s="1041" t="s">
        <v>576</v>
      </c>
      <c r="P274" s="1041" t="s">
        <v>576</v>
      </c>
      <c r="Q274" s="1041" t="s">
        <v>576</v>
      </c>
      <c r="R274" s="1040">
        <v>8</v>
      </c>
      <c r="S274" s="1041">
        <v>1</v>
      </c>
      <c r="T274" s="1042">
        <v>301</v>
      </c>
      <c r="U274" s="1042">
        <v>11532</v>
      </c>
      <c r="V274" s="1042">
        <v>0</v>
      </c>
      <c r="W274" s="1042"/>
      <c r="X274" s="1042">
        <v>38</v>
      </c>
      <c r="Y274" s="1042">
        <v>0</v>
      </c>
      <c r="Z274" s="1040" t="s">
        <v>1209</v>
      </c>
      <c r="AA274" s="1040" t="s">
        <v>1210</v>
      </c>
      <c r="AB274" s="1040" t="s">
        <v>606</v>
      </c>
      <c r="AC274" s="1040" t="s">
        <v>606</v>
      </c>
      <c r="AD274" s="1040" t="s">
        <v>581</v>
      </c>
      <c r="AE274" s="1054"/>
      <c r="AF274" s="1040" t="s">
        <v>582</v>
      </c>
      <c r="AG274" s="1040">
        <v>0</v>
      </c>
      <c r="AH274" s="1040" t="s">
        <v>1113</v>
      </c>
      <c r="AI274" s="1040" t="s">
        <v>594</v>
      </c>
      <c r="AJ274" s="1040" t="s">
        <v>571</v>
      </c>
      <c r="AK274" s="1041">
        <v>76208</v>
      </c>
      <c r="AL274" s="1040" t="s">
        <v>1211</v>
      </c>
      <c r="AM274" s="1040" t="s">
        <v>1212</v>
      </c>
      <c r="AN274" s="1040"/>
      <c r="AO274" s="1040">
        <v>11000</v>
      </c>
      <c r="AP274" s="1040">
        <v>409701</v>
      </c>
    </row>
    <row r="275" spans="1:42" x14ac:dyDescent="0.3">
      <c r="A275" s="1040">
        <v>98</v>
      </c>
      <c r="B275" s="1040">
        <v>75531</v>
      </c>
      <c r="C275" s="1040" t="s">
        <v>558</v>
      </c>
      <c r="D275" s="1040" t="str">
        <f t="shared" si="15"/>
        <v>061901</v>
      </c>
      <c r="E275" s="1040" t="s">
        <v>559</v>
      </c>
      <c r="F275" s="1040" t="str">
        <f t="shared" si="14"/>
        <v>038</v>
      </c>
      <c r="G275" s="1040" t="s">
        <v>1111</v>
      </c>
      <c r="H275" s="1041" t="str">
        <f>"18V"</f>
        <v>18V</v>
      </c>
      <c r="I275" s="1040" t="s">
        <v>1213</v>
      </c>
      <c r="J275" s="1040">
        <v>409702</v>
      </c>
      <c r="K275" s="1045">
        <v>41407</v>
      </c>
      <c r="L275" s="1040" t="s">
        <v>561</v>
      </c>
      <c r="M275" s="1041">
        <v>1991</v>
      </c>
      <c r="N275" s="1041" t="s">
        <v>576</v>
      </c>
      <c r="O275" s="1041" t="s">
        <v>576</v>
      </c>
      <c r="P275" s="1041" t="s">
        <v>576</v>
      </c>
      <c r="Q275" s="1041" t="s">
        <v>576</v>
      </c>
      <c r="R275" s="1040">
        <v>8</v>
      </c>
      <c r="S275" s="1041">
        <v>1</v>
      </c>
      <c r="T275" s="1042">
        <v>301</v>
      </c>
      <c r="U275" s="1042">
        <v>11532</v>
      </c>
      <c r="V275" s="1042">
        <v>0</v>
      </c>
      <c r="W275" s="1042"/>
      <c r="X275" s="1042">
        <v>38</v>
      </c>
      <c r="Y275" s="1042">
        <v>0</v>
      </c>
      <c r="Z275" s="1040" t="s">
        <v>1209</v>
      </c>
      <c r="AA275" s="1040" t="s">
        <v>1210</v>
      </c>
      <c r="AB275" s="1040" t="s">
        <v>606</v>
      </c>
      <c r="AC275" s="1040" t="s">
        <v>606</v>
      </c>
      <c r="AD275" s="1040" t="s">
        <v>581</v>
      </c>
      <c r="AE275" s="1054"/>
      <c r="AF275" s="1040" t="s">
        <v>582</v>
      </c>
      <c r="AG275" s="1040">
        <v>0</v>
      </c>
      <c r="AH275" s="1040" t="s">
        <v>1113</v>
      </c>
      <c r="AI275" s="1040" t="s">
        <v>594</v>
      </c>
      <c r="AJ275" s="1040" t="s">
        <v>571</v>
      </c>
      <c r="AK275" s="1041">
        <v>76208</v>
      </c>
      <c r="AL275" s="1040" t="s">
        <v>1214</v>
      </c>
      <c r="AM275" s="1040" t="s">
        <v>1200</v>
      </c>
      <c r="AN275" s="1040"/>
      <c r="AO275" s="1040">
        <v>11000</v>
      </c>
      <c r="AP275" s="1040">
        <v>409702</v>
      </c>
    </row>
    <row r="276" spans="1:42" x14ac:dyDescent="0.3">
      <c r="A276" s="1040">
        <v>98</v>
      </c>
      <c r="B276" s="1040">
        <v>75531</v>
      </c>
      <c r="C276" s="1040" t="s">
        <v>558</v>
      </c>
      <c r="D276" s="1040" t="str">
        <f t="shared" si="15"/>
        <v>061901</v>
      </c>
      <c r="E276" s="1040" t="s">
        <v>559</v>
      </c>
      <c r="F276" s="1040" t="str">
        <f t="shared" si="14"/>
        <v>038</v>
      </c>
      <c r="G276" s="1040" t="s">
        <v>1111</v>
      </c>
      <c r="H276" s="1041" t="str">
        <f>"18W"</f>
        <v>18W</v>
      </c>
      <c r="I276" s="1040" t="s">
        <v>626</v>
      </c>
      <c r="J276" s="1040">
        <v>409703</v>
      </c>
      <c r="K276" s="1045">
        <v>41407</v>
      </c>
      <c r="L276" s="1040" t="s">
        <v>561</v>
      </c>
      <c r="M276" s="1041">
        <v>1991</v>
      </c>
      <c r="N276" s="1041" t="s">
        <v>576</v>
      </c>
      <c r="O276" s="1041" t="s">
        <v>576</v>
      </c>
      <c r="P276" s="1041" t="s">
        <v>576</v>
      </c>
      <c r="Q276" s="1041" t="s">
        <v>576</v>
      </c>
      <c r="R276" s="1040">
        <v>8</v>
      </c>
      <c r="S276" s="1041">
        <v>1</v>
      </c>
      <c r="T276" s="1042">
        <v>80</v>
      </c>
      <c r="U276" s="1042">
        <v>56614</v>
      </c>
      <c r="V276" s="1042">
        <v>0</v>
      </c>
      <c r="W276" s="1042"/>
      <c r="X276" s="1042">
        <v>708</v>
      </c>
      <c r="Y276" s="1042">
        <v>0</v>
      </c>
      <c r="Z276" s="1040" t="s">
        <v>577</v>
      </c>
      <c r="AA276" s="1040" t="s">
        <v>615</v>
      </c>
      <c r="AB276" s="1040" t="s">
        <v>606</v>
      </c>
      <c r="AC276" s="1040" t="s">
        <v>606</v>
      </c>
      <c r="AD276" s="1040" t="s">
        <v>581</v>
      </c>
      <c r="AE276" s="1054"/>
      <c r="AF276" s="1040" t="s">
        <v>582</v>
      </c>
      <c r="AG276" s="1040">
        <v>0</v>
      </c>
      <c r="AH276" s="1040" t="s">
        <v>1113</v>
      </c>
      <c r="AI276" s="1040" t="s">
        <v>594</v>
      </c>
      <c r="AJ276" s="1040" t="s">
        <v>571</v>
      </c>
      <c r="AK276" s="1041">
        <v>76208</v>
      </c>
      <c r="AL276" s="1040" t="s">
        <v>1215</v>
      </c>
      <c r="AM276" s="1040" t="s">
        <v>1119</v>
      </c>
      <c r="AN276" s="1040" t="s">
        <v>628</v>
      </c>
      <c r="AO276" s="1040">
        <v>54000</v>
      </c>
      <c r="AP276" s="1040">
        <v>409703</v>
      </c>
    </row>
    <row r="277" spans="1:42" x14ac:dyDescent="0.3">
      <c r="A277" s="1040">
        <v>98</v>
      </c>
      <c r="B277" s="1040">
        <v>75531</v>
      </c>
      <c r="C277" s="1040" t="s">
        <v>558</v>
      </c>
      <c r="D277" s="1040" t="str">
        <f t="shared" si="15"/>
        <v>061901</v>
      </c>
      <c r="E277" s="1040" t="s">
        <v>559</v>
      </c>
      <c r="F277" s="1040" t="str">
        <f t="shared" si="14"/>
        <v>038</v>
      </c>
      <c r="G277" s="1040" t="s">
        <v>1111</v>
      </c>
      <c r="H277" s="1041" t="str">
        <f>"18X"</f>
        <v>18X</v>
      </c>
      <c r="I277" s="1040" t="s">
        <v>1216</v>
      </c>
      <c r="J277" s="1040">
        <v>409704</v>
      </c>
      <c r="K277" s="1045">
        <v>41407</v>
      </c>
      <c r="L277" s="1040" t="s">
        <v>561</v>
      </c>
      <c r="M277" s="1041">
        <v>1991</v>
      </c>
      <c r="N277" s="1041" t="s">
        <v>576</v>
      </c>
      <c r="O277" s="1041" t="s">
        <v>576</v>
      </c>
      <c r="P277" s="1041" t="s">
        <v>576</v>
      </c>
      <c r="Q277" s="1041" t="s">
        <v>576</v>
      </c>
      <c r="R277" s="1040">
        <v>7</v>
      </c>
      <c r="S277" s="1041">
        <v>1</v>
      </c>
      <c r="T277" s="1042">
        <v>64</v>
      </c>
      <c r="U277" s="1042">
        <v>10484</v>
      </c>
      <c r="V277" s="1042">
        <v>0</v>
      </c>
      <c r="W277" s="1042"/>
      <c r="X277" s="1042">
        <v>164</v>
      </c>
      <c r="Y277" s="1042">
        <v>0</v>
      </c>
      <c r="Z277" s="1040" t="s">
        <v>604</v>
      </c>
      <c r="AA277" s="1040" t="s">
        <v>605</v>
      </c>
      <c r="AB277" s="1040" t="s">
        <v>606</v>
      </c>
      <c r="AC277" s="1040" t="s">
        <v>606</v>
      </c>
      <c r="AD277" s="1040" t="s">
        <v>581</v>
      </c>
      <c r="AE277" s="1054"/>
      <c r="AF277" s="1040" t="s">
        <v>582</v>
      </c>
      <c r="AG277" s="1040">
        <v>0</v>
      </c>
      <c r="AH277" s="1040" t="s">
        <v>1113</v>
      </c>
      <c r="AI277" s="1040" t="s">
        <v>594</v>
      </c>
      <c r="AJ277" s="1040" t="s">
        <v>571</v>
      </c>
      <c r="AK277" s="1041">
        <v>76208</v>
      </c>
      <c r="AL277" s="1040" t="s">
        <v>1217</v>
      </c>
      <c r="AM277" s="1040" t="s">
        <v>1218</v>
      </c>
      <c r="AN277" s="1040"/>
      <c r="AO277" s="1040">
        <v>10000</v>
      </c>
      <c r="AP277" s="1040">
        <v>409704</v>
      </c>
    </row>
    <row r="278" spans="1:42" x14ac:dyDescent="0.3">
      <c r="A278" s="1040">
        <v>98</v>
      </c>
      <c r="B278" s="1040">
        <v>75531</v>
      </c>
      <c r="C278" s="1040" t="s">
        <v>558</v>
      </c>
      <c r="D278" s="1040" t="str">
        <f t="shared" si="15"/>
        <v>061901</v>
      </c>
      <c r="E278" s="1040" t="s">
        <v>559</v>
      </c>
      <c r="F278" s="1040" t="str">
        <f t="shared" si="14"/>
        <v>038</v>
      </c>
      <c r="G278" s="1040" t="s">
        <v>1111</v>
      </c>
      <c r="H278" s="1041" t="str">
        <f>"18Y"</f>
        <v>18Y</v>
      </c>
      <c r="I278" s="1040" t="s">
        <v>1219</v>
      </c>
      <c r="J278" s="1040">
        <v>409676</v>
      </c>
      <c r="K278" s="1045">
        <v>41407</v>
      </c>
      <c r="L278" s="1040" t="s">
        <v>561</v>
      </c>
      <c r="M278" s="1041">
        <v>2001</v>
      </c>
      <c r="N278" s="1041" t="s">
        <v>576</v>
      </c>
      <c r="O278" s="1041" t="s">
        <v>576</v>
      </c>
      <c r="P278" s="1041" t="s">
        <v>576</v>
      </c>
      <c r="Q278" s="1041" t="s">
        <v>576</v>
      </c>
      <c r="R278" s="1040">
        <v>7</v>
      </c>
      <c r="S278" s="1041">
        <v>1</v>
      </c>
      <c r="T278" s="1042">
        <v>160</v>
      </c>
      <c r="U278" s="1042">
        <v>2092</v>
      </c>
      <c r="V278" s="1042">
        <v>4088</v>
      </c>
      <c r="W278" s="1042"/>
      <c r="X278" s="1042">
        <v>13</v>
      </c>
      <c r="Y278" s="1042">
        <v>26</v>
      </c>
      <c r="Z278" s="1040" t="s">
        <v>611</v>
      </c>
      <c r="AA278" s="1040" t="s">
        <v>612</v>
      </c>
      <c r="AB278" s="1040" t="s">
        <v>606</v>
      </c>
      <c r="AC278" s="1040" t="s">
        <v>606</v>
      </c>
      <c r="AD278" s="1040" t="s">
        <v>581</v>
      </c>
      <c r="AE278" s="1054"/>
      <c r="AF278" s="1040" t="s">
        <v>592</v>
      </c>
      <c r="AG278" s="1040">
        <v>0</v>
      </c>
      <c r="AH278" s="1040" t="s">
        <v>1113</v>
      </c>
      <c r="AI278" s="1040" t="s">
        <v>594</v>
      </c>
      <c r="AJ278" s="1040" t="s">
        <v>571</v>
      </c>
      <c r="AK278" s="1041">
        <v>76208</v>
      </c>
      <c r="AL278" s="1040" t="s">
        <v>1220</v>
      </c>
      <c r="AM278" s="1040" t="s">
        <v>1119</v>
      </c>
      <c r="AN278" s="1040"/>
      <c r="AO278" s="1040">
        <v>2000</v>
      </c>
      <c r="AP278" s="1040">
        <v>409676</v>
      </c>
    </row>
    <row r="279" spans="1:42" x14ac:dyDescent="0.3">
      <c r="A279" s="1040">
        <v>98</v>
      </c>
      <c r="B279" s="1040">
        <v>75531</v>
      </c>
      <c r="C279" s="1040" t="s">
        <v>558</v>
      </c>
      <c r="D279" s="1040" t="str">
        <f t="shared" si="15"/>
        <v>061901</v>
      </c>
      <c r="E279" s="1040" t="s">
        <v>559</v>
      </c>
      <c r="F279" s="1040" t="str">
        <f t="shared" si="14"/>
        <v>038</v>
      </c>
      <c r="G279" s="1040" t="s">
        <v>1111</v>
      </c>
      <c r="H279" s="1041" t="str">
        <f>"18Z"</f>
        <v>18Z</v>
      </c>
      <c r="I279" s="1040" t="s">
        <v>1221</v>
      </c>
      <c r="J279" s="1040">
        <v>409705</v>
      </c>
      <c r="K279" s="1045">
        <v>41407</v>
      </c>
      <c r="L279" s="1040" t="s">
        <v>561</v>
      </c>
      <c r="M279" s="1041">
        <v>1999</v>
      </c>
      <c r="N279" s="1041" t="s">
        <v>576</v>
      </c>
      <c r="O279" s="1041" t="s">
        <v>576</v>
      </c>
      <c r="P279" s="1041" t="s">
        <v>576</v>
      </c>
      <c r="Q279" s="1041" t="s">
        <v>576</v>
      </c>
      <c r="R279" s="1040">
        <v>8</v>
      </c>
      <c r="S279" s="1041">
        <v>1</v>
      </c>
      <c r="T279" s="1042">
        <v>192</v>
      </c>
      <c r="U279" s="1042">
        <v>15726</v>
      </c>
      <c r="V279" s="1042">
        <v>0</v>
      </c>
      <c r="W279" s="1042"/>
      <c r="X279" s="1042">
        <v>82</v>
      </c>
      <c r="Y279" s="1042">
        <v>0</v>
      </c>
      <c r="Z279" s="1040" t="s">
        <v>577</v>
      </c>
      <c r="AA279" s="1040" t="s">
        <v>615</v>
      </c>
      <c r="AB279" s="1040" t="s">
        <v>579</v>
      </c>
      <c r="AC279" s="1040" t="s">
        <v>580</v>
      </c>
      <c r="AD279" s="1040" t="s">
        <v>581</v>
      </c>
      <c r="AE279" s="1054"/>
      <c r="AF279" s="1040" t="s">
        <v>582</v>
      </c>
      <c r="AG279" s="1040">
        <v>0</v>
      </c>
      <c r="AH279" s="1040" t="s">
        <v>1113</v>
      </c>
      <c r="AI279" s="1040" t="s">
        <v>594</v>
      </c>
      <c r="AJ279" s="1040" t="s">
        <v>571</v>
      </c>
      <c r="AK279" s="1041">
        <v>76208</v>
      </c>
      <c r="AL279" s="1040" t="s">
        <v>1222</v>
      </c>
      <c r="AM279" s="1040" t="s">
        <v>1223</v>
      </c>
      <c r="AN279" s="1040"/>
      <c r="AO279" s="1040">
        <v>15000</v>
      </c>
      <c r="AP279" s="1040">
        <v>409705</v>
      </c>
    </row>
    <row r="280" spans="1:42" x14ac:dyDescent="0.3">
      <c r="A280" s="1040">
        <v>98</v>
      </c>
      <c r="B280" s="1040">
        <v>75531</v>
      </c>
      <c r="C280" s="1040" t="s">
        <v>558</v>
      </c>
      <c r="D280" s="1040" t="str">
        <f t="shared" si="15"/>
        <v>061901</v>
      </c>
      <c r="E280" s="1040" t="s">
        <v>559</v>
      </c>
      <c r="F280" s="1040" t="str">
        <f t="shared" si="14"/>
        <v>038</v>
      </c>
      <c r="G280" s="1040" t="s">
        <v>1111</v>
      </c>
      <c r="H280" s="1041" t="str">
        <f>"414053"</f>
        <v>414053</v>
      </c>
      <c r="I280" s="1040" t="s">
        <v>1224</v>
      </c>
      <c r="J280" s="1040">
        <v>414053</v>
      </c>
      <c r="K280" s="1040"/>
      <c r="L280" s="1040" t="s">
        <v>940</v>
      </c>
      <c r="M280" s="1041">
        <v>1998</v>
      </c>
      <c r="N280" s="1041"/>
      <c r="O280" s="1041"/>
      <c r="P280" s="1041"/>
      <c r="Q280" s="1041"/>
      <c r="R280" s="1040">
        <v>0</v>
      </c>
      <c r="S280" s="1041">
        <v>1</v>
      </c>
      <c r="T280" s="1042">
        <v>768</v>
      </c>
      <c r="U280" s="1042">
        <v>70702</v>
      </c>
      <c r="V280" s="1042">
        <v>11044</v>
      </c>
      <c r="W280" s="1042"/>
      <c r="X280" s="1042">
        <v>92</v>
      </c>
      <c r="Y280" s="1042">
        <v>14</v>
      </c>
      <c r="Z280" s="1040"/>
      <c r="AA280" s="1040"/>
      <c r="AB280" s="1040"/>
      <c r="AC280" s="1040"/>
      <c r="AD280" s="1040"/>
      <c r="AE280" s="1055"/>
      <c r="AF280" s="1040"/>
      <c r="AG280" s="1040"/>
      <c r="AH280" s="1040" t="s">
        <v>1113</v>
      </c>
      <c r="AI280" s="1040" t="s">
        <v>594</v>
      </c>
      <c r="AJ280" s="1040" t="s">
        <v>571</v>
      </c>
      <c r="AK280" s="1041">
        <v>76208</v>
      </c>
      <c r="AL280" s="1040"/>
      <c r="AM280" s="1040"/>
      <c r="AN280" s="1040"/>
      <c r="AO280" s="1040">
        <v>70000</v>
      </c>
      <c r="AP280" s="1040">
        <v>414053</v>
      </c>
    </row>
    <row r="281" spans="1:42" x14ac:dyDescent="0.3">
      <c r="A281" s="1040">
        <v>98</v>
      </c>
      <c r="B281" s="1040">
        <v>75531</v>
      </c>
      <c r="C281" s="1040" t="s">
        <v>558</v>
      </c>
      <c r="D281" s="1040" t="str">
        <f t="shared" si="15"/>
        <v>061901</v>
      </c>
      <c r="E281" s="1040" t="s">
        <v>559</v>
      </c>
      <c r="F281" s="1040" t="str">
        <f t="shared" si="14"/>
        <v>038</v>
      </c>
      <c r="G281" s="1040" t="s">
        <v>1111</v>
      </c>
      <c r="H281" s="1041" t="str">
        <f>"414063"</f>
        <v>414063</v>
      </c>
      <c r="I281" s="1040" t="s">
        <v>1225</v>
      </c>
      <c r="J281" s="1040">
        <v>414063</v>
      </c>
      <c r="K281" s="1040"/>
      <c r="L281" s="1040" t="s">
        <v>940</v>
      </c>
      <c r="M281" s="1041">
        <v>1986</v>
      </c>
      <c r="N281" s="1041"/>
      <c r="O281" s="1041"/>
      <c r="P281" s="1041"/>
      <c r="Q281" s="1041"/>
      <c r="R281" s="1040">
        <v>0</v>
      </c>
      <c r="S281" s="1041">
        <v>1</v>
      </c>
      <c r="T281" s="1042">
        <v>768</v>
      </c>
      <c r="U281" s="1042">
        <v>70702</v>
      </c>
      <c r="V281" s="1042">
        <v>11044</v>
      </c>
      <c r="W281" s="1042"/>
      <c r="X281" s="1042">
        <v>92</v>
      </c>
      <c r="Y281" s="1042">
        <v>14</v>
      </c>
      <c r="Z281" s="1040"/>
      <c r="AA281" s="1040"/>
      <c r="AB281" s="1040"/>
      <c r="AC281" s="1040"/>
      <c r="AD281" s="1040"/>
      <c r="AE281" s="1055"/>
      <c r="AF281" s="1040"/>
      <c r="AG281" s="1040"/>
      <c r="AH281" s="1040" t="s">
        <v>1226</v>
      </c>
      <c r="AI281" s="1040" t="s">
        <v>594</v>
      </c>
      <c r="AJ281" s="1040" t="s">
        <v>571</v>
      </c>
      <c r="AK281" s="1041">
        <v>76208</v>
      </c>
      <c r="AL281" s="1040"/>
      <c r="AM281" s="1040"/>
      <c r="AN281" s="1040"/>
      <c r="AO281" s="1040">
        <v>70000</v>
      </c>
      <c r="AP281" s="1040">
        <v>414063</v>
      </c>
    </row>
    <row r="282" spans="1:42" x14ac:dyDescent="0.3">
      <c r="A282" s="1040">
        <v>98</v>
      </c>
      <c r="B282" s="1040">
        <v>75531</v>
      </c>
      <c r="C282" s="1040" t="s">
        <v>558</v>
      </c>
      <c r="D282" s="1040" t="str">
        <f t="shared" si="15"/>
        <v>061901</v>
      </c>
      <c r="E282" s="1040" t="s">
        <v>559</v>
      </c>
      <c r="F282" s="1040" t="str">
        <f t="shared" si="14"/>
        <v>038</v>
      </c>
      <c r="G282" s="1040" t="s">
        <v>1111</v>
      </c>
      <c r="H282" s="1041" t="str">
        <f>"999"</f>
        <v>999</v>
      </c>
      <c r="I282" s="1040" t="s">
        <v>586</v>
      </c>
      <c r="J282" s="1040">
        <v>409773</v>
      </c>
      <c r="K282" s="1040"/>
      <c r="L282" s="1040" t="s">
        <v>561</v>
      </c>
      <c r="M282" s="1041"/>
      <c r="N282" s="1041" t="s">
        <v>576</v>
      </c>
      <c r="O282" s="1041" t="s">
        <v>576</v>
      </c>
      <c r="P282" s="1041" t="s">
        <v>576</v>
      </c>
      <c r="Q282" s="1041" t="s">
        <v>576</v>
      </c>
      <c r="R282" s="1040">
        <v>0</v>
      </c>
      <c r="S282" s="1041">
        <v>0</v>
      </c>
      <c r="T282" s="1042"/>
      <c r="U282" s="1042"/>
      <c r="V282" s="1042"/>
      <c r="W282" s="1042">
        <v>1399631</v>
      </c>
      <c r="X282" s="1042"/>
      <c r="Y282" s="1042"/>
      <c r="Z282" s="1040"/>
      <c r="AA282" s="1040"/>
      <c r="AB282" s="1040"/>
      <c r="AC282" s="1040"/>
      <c r="AD282" s="1040"/>
      <c r="AE282" s="1041"/>
      <c r="AF282" s="1040"/>
      <c r="AG282" s="1040">
        <v>0</v>
      </c>
      <c r="AH282" s="1040" t="s">
        <v>1113</v>
      </c>
      <c r="AI282" s="1040" t="s">
        <v>594</v>
      </c>
      <c r="AJ282" s="1040" t="s">
        <v>571</v>
      </c>
      <c r="AK282" s="1041">
        <v>76208</v>
      </c>
      <c r="AL282" s="1040"/>
      <c r="AM282" s="1040"/>
      <c r="AN282" s="1040"/>
      <c r="AO282" s="1040">
        <v>0</v>
      </c>
      <c r="AP282" s="1040">
        <v>409773</v>
      </c>
    </row>
    <row r="283" spans="1:42" s="1059" customFormat="1" x14ac:dyDescent="0.3">
      <c r="A283" s="1056"/>
      <c r="B283" s="1056"/>
      <c r="C283" s="1056"/>
      <c r="D283" s="1056"/>
      <c r="E283" s="1056"/>
      <c r="F283" s="1056"/>
      <c r="G283" s="1056"/>
      <c r="H283" s="1057"/>
      <c r="I283" s="1056"/>
      <c r="J283" s="1056"/>
      <c r="K283" s="1056"/>
      <c r="L283" s="1056"/>
      <c r="M283" s="1057"/>
      <c r="N283" s="1057"/>
      <c r="O283" s="1057"/>
      <c r="P283" s="1057"/>
      <c r="Q283" s="1057"/>
      <c r="R283" s="1056"/>
      <c r="S283" s="1057"/>
      <c r="T283" s="1058"/>
      <c r="U283" s="1058"/>
      <c r="V283" s="1058"/>
      <c r="W283" s="1058"/>
      <c r="X283" s="1058"/>
      <c r="Y283" s="1058"/>
      <c r="Z283" s="1056"/>
      <c r="AA283" s="1056"/>
      <c r="AB283" s="1056"/>
      <c r="AC283" s="1056"/>
      <c r="AD283" s="1056"/>
      <c r="AE283" s="1057"/>
      <c r="AF283" s="1056"/>
      <c r="AG283" s="1056"/>
      <c r="AH283" s="1056"/>
      <c r="AI283" s="1056"/>
      <c r="AJ283" s="1056"/>
      <c r="AK283" s="1057"/>
      <c r="AL283" s="1056"/>
      <c r="AM283" s="1056"/>
      <c r="AN283" s="1056"/>
      <c r="AO283" s="1056"/>
      <c r="AP283" s="1056"/>
    </row>
    <row r="284" spans="1:42" s="1059" customFormat="1" x14ac:dyDescent="0.3">
      <c r="A284" s="1060"/>
      <c r="B284" s="1060"/>
      <c r="C284" s="1060"/>
      <c r="D284" s="1060"/>
      <c r="E284" s="1060"/>
      <c r="F284" s="1060"/>
      <c r="G284" s="1060"/>
      <c r="H284" s="1061"/>
      <c r="I284" s="1062" t="s">
        <v>1227</v>
      </c>
      <c r="J284" s="1060"/>
      <c r="K284" s="1060"/>
      <c r="L284" s="1060"/>
      <c r="M284" s="1061"/>
      <c r="N284" s="1061"/>
      <c r="O284" s="1061"/>
      <c r="P284" s="1061"/>
      <c r="Q284" s="1061"/>
      <c r="R284" s="1060"/>
      <c r="S284" s="1061"/>
      <c r="T284" s="1063"/>
      <c r="U284" s="1063"/>
      <c r="V284" s="1063"/>
      <c r="W284" s="1063"/>
      <c r="X284" s="1063"/>
      <c r="Y284" s="1063"/>
      <c r="Z284" s="1060"/>
      <c r="AA284" s="1060"/>
      <c r="AB284" s="1060"/>
      <c r="AC284" s="1060"/>
      <c r="AD284" s="1060"/>
      <c r="AE284" s="1061"/>
      <c r="AF284" s="1060"/>
      <c r="AG284" s="1060"/>
      <c r="AH284" s="1060"/>
      <c r="AI284" s="1060"/>
      <c r="AJ284" s="1060"/>
      <c r="AK284" s="1061"/>
      <c r="AL284" s="1060"/>
      <c r="AM284" s="1060"/>
      <c r="AN284" s="1060"/>
      <c r="AO284" s="1060"/>
      <c r="AP284" s="1060"/>
    </row>
    <row r="285" spans="1:42" x14ac:dyDescent="0.3">
      <c r="A285" s="1040">
        <v>98</v>
      </c>
      <c r="B285" s="1040">
        <v>75531</v>
      </c>
      <c r="C285" s="1040" t="s">
        <v>558</v>
      </c>
      <c r="D285" s="1040" t="str">
        <f t="shared" si="15"/>
        <v>061901</v>
      </c>
      <c r="E285" s="1040" t="s">
        <v>559</v>
      </c>
      <c r="F285" s="1040" t="str">
        <f>"039"</f>
        <v>039</v>
      </c>
      <c r="H285" s="1041" t="str">
        <f>"47A"</f>
        <v>47A</v>
      </c>
      <c r="I285" s="1040" t="s">
        <v>560</v>
      </c>
      <c r="J285" s="1040">
        <v>409520</v>
      </c>
      <c r="K285" s="1045">
        <v>41403</v>
      </c>
      <c r="L285" s="1040" t="s">
        <v>561</v>
      </c>
      <c r="M285" s="1041">
        <v>2010</v>
      </c>
      <c r="N285" s="1041" t="s">
        <v>562</v>
      </c>
      <c r="O285" s="1041" t="s">
        <v>562</v>
      </c>
      <c r="P285" s="1041" t="s">
        <v>562</v>
      </c>
      <c r="Q285" s="1041" t="s">
        <v>562</v>
      </c>
      <c r="R285" s="1040">
        <v>15</v>
      </c>
      <c r="S285" s="1041">
        <v>1</v>
      </c>
      <c r="T285" s="1042">
        <v>82800</v>
      </c>
      <c r="U285" s="1042">
        <v>13551776</v>
      </c>
      <c r="V285" s="1042">
        <v>2010313</v>
      </c>
      <c r="W285" s="1042"/>
      <c r="X285" s="1042">
        <v>164</v>
      </c>
      <c r="Y285" s="1042">
        <v>24</v>
      </c>
      <c r="Z285" s="1040" t="s">
        <v>563</v>
      </c>
      <c r="AA285" s="1040" t="s">
        <v>1228</v>
      </c>
      <c r="AB285" s="1040" t="s">
        <v>565</v>
      </c>
      <c r="AC285" s="1040" t="s">
        <v>566</v>
      </c>
      <c r="AD285" s="1040" t="s">
        <v>1229</v>
      </c>
      <c r="AE285" s="1041"/>
      <c r="AF285" s="1040" t="s">
        <v>738</v>
      </c>
      <c r="AG285" s="1040">
        <v>0</v>
      </c>
      <c r="AH285" s="1040" t="s">
        <v>1230</v>
      </c>
      <c r="AI285" s="1040" t="s">
        <v>570</v>
      </c>
      <c r="AJ285" s="1040" t="s">
        <v>571</v>
      </c>
      <c r="AK285" s="1041">
        <v>76227</v>
      </c>
      <c r="AL285" s="1040" t="s">
        <v>1231</v>
      </c>
      <c r="AM285" s="1040" t="s">
        <v>1232</v>
      </c>
      <c r="AN285" s="1040" t="s">
        <v>1233</v>
      </c>
      <c r="AO285" s="1040">
        <v>12926000</v>
      </c>
      <c r="AP285" s="1040">
        <v>409520</v>
      </c>
    </row>
    <row r="286" spans="1:42" x14ac:dyDescent="0.3">
      <c r="A286" s="1040">
        <v>98</v>
      </c>
      <c r="B286" s="1040">
        <v>75531</v>
      </c>
      <c r="C286" s="1040" t="s">
        <v>558</v>
      </c>
      <c r="D286" s="1040" t="str">
        <f t="shared" si="15"/>
        <v>061901</v>
      </c>
      <c r="E286" s="1040" t="s">
        <v>559</v>
      </c>
      <c r="F286" s="1040" t="str">
        <f>"039"</f>
        <v>039</v>
      </c>
      <c r="G286" s="1040" t="s">
        <v>1227</v>
      </c>
      <c r="H286" s="1041" t="str">
        <f>"999"</f>
        <v>999</v>
      </c>
      <c r="I286" s="1040" t="s">
        <v>586</v>
      </c>
      <c r="J286" s="1040">
        <v>409749</v>
      </c>
      <c r="K286" s="1040"/>
      <c r="L286" s="1040" t="s">
        <v>561</v>
      </c>
      <c r="M286" s="1041"/>
      <c r="N286" s="1041" t="s">
        <v>576</v>
      </c>
      <c r="O286" s="1041" t="s">
        <v>576</v>
      </c>
      <c r="P286" s="1041" t="s">
        <v>576</v>
      </c>
      <c r="Q286" s="1041" t="s">
        <v>576</v>
      </c>
      <c r="R286" s="1040">
        <v>0</v>
      </c>
      <c r="S286" s="1041">
        <v>0</v>
      </c>
      <c r="T286" s="1042"/>
      <c r="U286" s="1042"/>
      <c r="V286" s="1042"/>
      <c r="W286" s="1042">
        <v>232748</v>
      </c>
      <c r="X286" s="1042"/>
      <c r="Y286" s="1042"/>
      <c r="Z286" s="1040"/>
      <c r="AA286" s="1040"/>
      <c r="AB286" s="1040"/>
      <c r="AC286" s="1040"/>
      <c r="AD286" s="1040"/>
      <c r="AE286" s="1041"/>
      <c r="AF286" s="1040"/>
      <c r="AG286" s="1040">
        <v>0</v>
      </c>
      <c r="AH286" s="1040" t="s">
        <v>1230</v>
      </c>
      <c r="AI286" s="1040" t="s">
        <v>570</v>
      </c>
      <c r="AJ286" s="1040" t="s">
        <v>571</v>
      </c>
      <c r="AK286" s="1041">
        <v>76227</v>
      </c>
      <c r="AL286" s="1040"/>
      <c r="AM286" s="1040"/>
      <c r="AN286" s="1040" t="s">
        <v>1234</v>
      </c>
      <c r="AO286" s="1040">
        <v>0</v>
      </c>
      <c r="AP286" s="1040">
        <v>409749</v>
      </c>
    </row>
    <row r="287" spans="1:42" s="1059" customFormat="1" x14ac:dyDescent="0.3">
      <c r="A287" s="1056"/>
      <c r="B287" s="1056"/>
      <c r="C287" s="1056"/>
      <c r="D287" s="1056"/>
      <c r="E287" s="1056"/>
      <c r="F287" s="1056"/>
      <c r="G287" s="1056"/>
      <c r="H287" s="1057"/>
      <c r="I287" s="1056"/>
      <c r="J287" s="1056"/>
      <c r="K287" s="1056"/>
      <c r="L287" s="1056"/>
      <c r="M287" s="1057"/>
      <c r="N287" s="1057"/>
      <c r="O287" s="1057"/>
      <c r="P287" s="1057"/>
      <c r="Q287" s="1057"/>
      <c r="R287" s="1056"/>
      <c r="S287" s="1057"/>
      <c r="T287" s="1058"/>
      <c r="U287" s="1058"/>
      <c r="V287" s="1058"/>
      <c r="W287" s="1058"/>
      <c r="X287" s="1058"/>
      <c r="Y287" s="1058"/>
      <c r="Z287" s="1056"/>
      <c r="AA287" s="1056"/>
      <c r="AB287" s="1056"/>
      <c r="AC287" s="1056"/>
      <c r="AD287" s="1056"/>
      <c r="AE287" s="1057"/>
      <c r="AF287" s="1056"/>
      <c r="AG287" s="1056"/>
      <c r="AH287" s="1056"/>
      <c r="AI287" s="1056"/>
      <c r="AJ287" s="1056"/>
      <c r="AK287" s="1057"/>
      <c r="AL287" s="1056"/>
      <c r="AM287" s="1056"/>
      <c r="AN287" s="1056"/>
      <c r="AO287" s="1056"/>
      <c r="AP287" s="1056"/>
    </row>
    <row r="288" spans="1:42" s="1059" customFormat="1" x14ac:dyDescent="0.3">
      <c r="A288" s="1060"/>
      <c r="B288" s="1060"/>
      <c r="C288" s="1060"/>
      <c r="D288" s="1060"/>
      <c r="E288" s="1060"/>
      <c r="F288" s="1060"/>
      <c r="G288" s="1060"/>
      <c r="H288" s="1061"/>
      <c r="I288" s="1062" t="s">
        <v>1235</v>
      </c>
      <c r="J288" s="1060"/>
      <c r="K288" s="1060"/>
      <c r="L288" s="1060"/>
      <c r="M288" s="1061"/>
      <c r="N288" s="1061"/>
      <c r="O288" s="1061"/>
      <c r="P288" s="1061"/>
      <c r="Q288" s="1061"/>
      <c r="R288" s="1060"/>
      <c r="S288" s="1061"/>
      <c r="T288" s="1063"/>
      <c r="U288" s="1063"/>
      <c r="V288" s="1063"/>
      <c r="W288" s="1063"/>
      <c r="X288" s="1063"/>
      <c r="Y288" s="1063"/>
      <c r="Z288" s="1060"/>
      <c r="AA288" s="1060"/>
      <c r="AB288" s="1060"/>
      <c r="AC288" s="1060"/>
      <c r="AD288" s="1060"/>
      <c r="AE288" s="1061"/>
      <c r="AF288" s="1060"/>
      <c r="AG288" s="1060"/>
      <c r="AH288" s="1060"/>
      <c r="AI288" s="1060"/>
      <c r="AJ288" s="1060"/>
      <c r="AK288" s="1061"/>
      <c r="AL288" s="1060"/>
      <c r="AM288" s="1060"/>
      <c r="AN288" s="1060"/>
      <c r="AO288" s="1060"/>
      <c r="AP288" s="1060"/>
    </row>
    <row r="289" spans="1:42" x14ac:dyDescent="0.3">
      <c r="A289" s="1040">
        <v>98</v>
      </c>
      <c r="B289" s="1040">
        <v>75531</v>
      </c>
      <c r="C289" s="1040" t="s">
        <v>558</v>
      </c>
      <c r="D289" s="1040" t="str">
        <f t="shared" si="15"/>
        <v>061901</v>
      </c>
      <c r="E289" s="1040" t="s">
        <v>559</v>
      </c>
      <c r="F289" s="1040" t="str">
        <f t="shared" ref="F289:F296" si="16">"040"</f>
        <v>040</v>
      </c>
      <c r="H289" s="1041" t="str">
        <f>"20A"</f>
        <v>20A</v>
      </c>
      <c r="I289" s="1040" t="s">
        <v>560</v>
      </c>
      <c r="J289" s="1040">
        <v>409529</v>
      </c>
      <c r="K289" s="1045">
        <v>41394</v>
      </c>
      <c r="L289" s="1040" t="s">
        <v>561</v>
      </c>
      <c r="M289" s="1041">
        <v>1994</v>
      </c>
      <c r="N289" s="1041" t="s">
        <v>562</v>
      </c>
      <c r="O289" s="1041" t="s">
        <v>562</v>
      </c>
      <c r="P289" s="1041" t="s">
        <v>562</v>
      </c>
      <c r="Q289" s="1041" t="s">
        <v>562</v>
      </c>
      <c r="R289" s="1040">
        <v>14</v>
      </c>
      <c r="S289" s="1041">
        <v>1</v>
      </c>
      <c r="T289" s="1042">
        <v>86304</v>
      </c>
      <c r="U289" s="1042">
        <v>11950268</v>
      </c>
      <c r="V289" s="1042">
        <v>2110836</v>
      </c>
      <c r="W289" s="1042"/>
      <c r="X289" s="1042">
        <v>138</v>
      </c>
      <c r="Y289" s="1042">
        <v>24</v>
      </c>
      <c r="Z289" s="1040" t="s">
        <v>563</v>
      </c>
      <c r="AA289" s="1040" t="s">
        <v>693</v>
      </c>
      <c r="AB289" s="1040" t="s">
        <v>637</v>
      </c>
      <c r="AC289" s="1040" t="s">
        <v>638</v>
      </c>
      <c r="AD289" s="1040" t="s">
        <v>591</v>
      </c>
      <c r="AE289" s="1055"/>
      <c r="AF289" s="1040" t="s">
        <v>592</v>
      </c>
      <c r="AG289" s="1040">
        <v>0</v>
      </c>
      <c r="AH289" s="1040" t="s">
        <v>1236</v>
      </c>
      <c r="AI289" s="1040" t="s">
        <v>594</v>
      </c>
      <c r="AJ289" s="1040" t="s">
        <v>571</v>
      </c>
      <c r="AK289" s="1041">
        <v>76205</v>
      </c>
      <c r="AL289" s="1040" t="s">
        <v>1237</v>
      </c>
      <c r="AM289" s="1040" t="s">
        <v>924</v>
      </c>
      <c r="AN289" s="1040" t="s">
        <v>1238</v>
      </c>
      <c r="AO289" s="1040">
        <v>11398444</v>
      </c>
      <c r="AP289" s="1040">
        <v>409529</v>
      </c>
    </row>
    <row r="290" spans="1:42" x14ac:dyDescent="0.3">
      <c r="A290" s="1040">
        <v>98</v>
      </c>
      <c r="B290" s="1040">
        <v>75531</v>
      </c>
      <c r="C290" s="1040" t="s">
        <v>558</v>
      </c>
      <c r="D290" s="1040" t="str">
        <f t="shared" si="15"/>
        <v>061901</v>
      </c>
      <c r="E290" s="1040" t="s">
        <v>559</v>
      </c>
      <c r="F290" s="1040" t="str">
        <f t="shared" si="16"/>
        <v>040</v>
      </c>
      <c r="G290" s="1040" t="s">
        <v>1235</v>
      </c>
      <c r="H290" s="1041" t="str">
        <f>"20B"</f>
        <v>20B</v>
      </c>
      <c r="I290" s="1040" t="s">
        <v>1239</v>
      </c>
      <c r="J290" s="1040">
        <v>409706</v>
      </c>
      <c r="K290" s="1045">
        <v>41394</v>
      </c>
      <c r="L290" s="1040" t="s">
        <v>561</v>
      </c>
      <c r="M290" s="1041">
        <v>2000</v>
      </c>
      <c r="N290" s="1041" t="s">
        <v>576</v>
      </c>
      <c r="O290" s="1041" t="s">
        <v>576</v>
      </c>
      <c r="P290" s="1041" t="s">
        <v>576</v>
      </c>
      <c r="Q290" s="1041" t="s">
        <v>576</v>
      </c>
      <c r="R290" s="1040">
        <v>9</v>
      </c>
      <c r="S290" s="1041">
        <v>1</v>
      </c>
      <c r="T290" s="1042">
        <v>768</v>
      </c>
      <c r="U290" s="1042">
        <v>74931</v>
      </c>
      <c r="V290" s="1042">
        <v>11320</v>
      </c>
      <c r="W290" s="1042"/>
      <c r="X290" s="1042">
        <v>98</v>
      </c>
      <c r="Y290" s="1042">
        <v>15</v>
      </c>
      <c r="Z290" s="1040" t="s">
        <v>577</v>
      </c>
      <c r="AA290" s="1040" t="s">
        <v>578</v>
      </c>
      <c r="AB290" s="1040" t="s">
        <v>579</v>
      </c>
      <c r="AC290" s="1040" t="s">
        <v>580</v>
      </c>
      <c r="AD290" s="1040" t="s">
        <v>581</v>
      </c>
      <c r="AE290" s="1054"/>
      <c r="AF290" s="1040" t="s">
        <v>582</v>
      </c>
      <c r="AG290" s="1040">
        <v>0</v>
      </c>
      <c r="AH290" s="1040" t="s">
        <v>1236</v>
      </c>
      <c r="AI290" s="1040" t="s">
        <v>594</v>
      </c>
      <c r="AJ290" s="1040" t="s">
        <v>571</v>
      </c>
      <c r="AK290" s="1041">
        <v>76205</v>
      </c>
      <c r="AL290" s="1040" t="s">
        <v>1240</v>
      </c>
      <c r="AM290" s="1040" t="s">
        <v>1241</v>
      </c>
      <c r="AN290" s="1040" t="s">
        <v>585</v>
      </c>
      <c r="AO290" s="1040">
        <v>71470</v>
      </c>
      <c r="AP290" s="1040">
        <v>409706</v>
      </c>
    </row>
    <row r="291" spans="1:42" x14ac:dyDescent="0.3">
      <c r="A291" s="1040">
        <v>98</v>
      </c>
      <c r="B291" s="1040">
        <v>75531</v>
      </c>
      <c r="C291" s="1040" t="s">
        <v>558</v>
      </c>
      <c r="D291" s="1040" t="str">
        <f t="shared" si="15"/>
        <v>061901</v>
      </c>
      <c r="E291" s="1040" t="s">
        <v>559</v>
      </c>
      <c r="F291" s="1040" t="str">
        <f t="shared" si="16"/>
        <v>040</v>
      </c>
      <c r="G291" s="1040" t="s">
        <v>1235</v>
      </c>
      <c r="H291" s="1041" t="str">
        <f>"20C"</f>
        <v>20C</v>
      </c>
      <c r="I291" s="1040" t="s">
        <v>1242</v>
      </c>
      <c r="J291" s="1040">
        <v>409707</v>
      </c>
      <c r="K291" s="1045">
        <v>41394</v>
      </c>
      <c r="L291" s="1040" t="s">
        <v>561</v>
      </c>
      <c r="M291" s="1041">
        <v>2000</v>
      </c>
      <c r="N291" s="1041" t="s">
        <v>576</v>
      </c>
      <c r="O291" s="1041" t="s">
        <v>576</v>
      </c>
      <c r="P291" s="1041" t="s">
        <v>576</v>
      </c>
      <c r="Q291" s="1041" t="s">
        <v>576</v>
      </c>
      <c r="R291" s="1040">
        <v>9</v>
      </c>
      <c r="S291" s="1041">
        <v>1</v>
      </c>
      <c r="T291" s="1042">
        <v>768</v>
      </c>
      <c r="U291" s="1042">
        <v>74931</v>
      </c>
      <c r="V291" s="1042">
        <v>11320</v>
      </c>
      <c r="W291" s="1042"/>
      <c r="X291" s="1042">
        <v>98</v>
      </c>
      <c r="Y291" s="1042">
        <v>15</v>
      </c>
      <c r="Z291" s="1040" t="s">
        <v>577</v>
      </c>
      <c r="AA291" s="1040" t="s">
        <v>578</v>
      </c>
      <c r="AB291" s="1040" t="s">
        <v>579</v>
      </c>
      <c r="AC291" s="1040" t="s">
        <v>580</v>
      </c>
      <c r="AD291" s="1040" t="s">
        <v>581</v>
      </c>
      <c r="AE291" s="1054"/>
      <c r="AF291" s="1040" t="s">
        <v>582</v>
      </c>
      <c r="AG291" s="1040">
        <v>0</v>
      </c>
      <c r="AH291" s="1040" t="s">
        <v>1236</v>
      </c>
      <c r="AI291" s="1040" t="s">
        <v>594</v>
      </c>
      <c r="AJ291" s="1040" t="s">
        <v>571</v>
      </c>
      <c r="AK291" s="1041">
        <v>76205</v>
      </c>
      <c r="AL291" s="1040" t="s">
        <v>1243</v>
      </c>
      <c r="AM291" s="1040" t="s">
        <v>1244</v>
      </c>
      <c r="AN291" s="1040" t="s">
        <v>585</v>
      </c>
      <c r="AO291" s="1040">
        <v>71470</v>
      </c>
      <c r="AP291" s="1040">
        <v>409707</v>
      </c>
    </row>
    <row r="292" spans="1:42" x14ac:dyDescent="0.3">
      <c r="A292" s="1040">
        <v>98</v>
      </c>
      <c r="B292" s="1040">
        <v>75531</v>
      </c>
      <c r="C292" s="1040" t="s">
        <v>558</v>
      </c>
      <c r="D292" s="1040" t="str">
        <f t="shared" si="15"/>
        <v>061901</v>
      </c>
      <c r="E292" s="1040" t="s">
        <v>559</v>
      </c>
      <c r="F292" s="1040" t="str">
        <f t="shared" si="16"/>
        <v>040</v>
      </c>
      <c r="G292" s="1040" t="s">
        <v>1235</v>
      </c>
      <c r="H292" s="1041" t="str">
        <f>"20D"</f>
        <v>20D</v>
      </c>
      <c r="I292" s="1040" t="s">
        <v>1245</v>
      </c>
      <c r="J292" s="1040">
        <v>409708</v>
      </c>
      <c r="K292" s="1045">
        <v>41394</v>
      </c>
      <c r="L292" s="1040" t="s">
        <v>561</v>
      </c>
      <c r="M292" s="1041">
        <v>2000</v>
      </c>
      <c r="N292" s="1041" t="s">
        <v>576</v>
      </c>
      <c r="O292" s="1041" t="s">
        <v>576</v>
      </c>
      <c r="P292" s="1041" t="s">
        <v>576</v>
      </c>
      <c r="Q292" s="1041" t="s">
        <v>576</v>
      </c>
      <c r="R292" s="1040">
        <v>9</v>
      </c>
      <c r="S292" s="1041">
        <v>1</v>
      </c>
      <c r="T292" s="1042">
        <v>768</v>
      </c>
      <c r="U292" s="1042">
        <v>74931</v>
      </c>
      <c r="V292" s="1042">
        <v>11320</v>
      </c>
      <c r="W292" s="1042"/>
      <c r="X292" s="1042">
        <v>98</v>
      </c>
      <c r="Y292" s="1042">
        <v>15</v>
      </c>
      <c r="Z292" s="1040" t="s">
        <v>577</v>
      </c>
      <c r="AA292" s="1040" t="s">
        <v>578</v>
      </c>
      <c r="AB292" s="1040" t="s">
        <v>579</v>
      </c>
      <c r="AC292" s="1040" t="s">
        <v>580</v>
      </c>
      <c r="AD292" s="1040" t="s">
        <v>581</v>
      </c>
      <c r="AE292" s="1054"/>
      <c r="AF292" s="1040" t="s">
        <v>582</v>
      </c>
      <c r="AG292" s="1040">
        <v>0</v>
      </c>
      <c r="AH292" s="1040" t="s">
        <v>1236</v>
      </c>
      <c r="AI292" s="1040" t="s">
        <v>594</v>
      </c>
      <c r="AJ292" s="1040" t="s">
        <v>571</v>
      </c>
      <c r="AK292" s="1041">
        <v>76205</v>
      </c>
      <c r="AL292" s="1040" t="s">
        <v>1243</v>
      </c>
      <c r="AM292" s="1040" t="s">
        <v>1246</v>
      </c>
      <c r="AN292" s="1040" t="s">
        <v>585</v>
      </c>
      <c r="AO292" s="1040">
        <v>71470</v>
      </c>
      <c r="AP292" s="1040">
        <v>409708</v>
      </c>
    </row>
    <row r="293" spans="1:42" x14ac:dyDescent="0.3">
      <c r="A293" s="1040">
        <v>98</v>
      </c>
      <c r="B293" s="1040">
        <v>75531</v>
      </c>
      <c r="C293" s="1040" t="s">
        <v>558</v>
      </c>
      <c r="D293" s="1040" t="str">
        <f t="shared" si="15"/>
        <v>061901</v>
      </c>
      <c r="E293" s="1040" t="s">
        <v>559</v>
      </c>
      <c r="F293" s="1040" t="str">
        <f t="shared" si="16"/>
        <v>040</v>
      </c>
      <c r="G293" s="1040" t="s">
        <v>1235</v>
      </c>
      <c r="H293" s="1041" t="str">
        <f>"20E"</f>
        <v>20E</v>
      </c>
      <c r="I293" s="1040" t="s">
        <v>1247</v>
      </c>
      <c r="J293" s="1040">
        <v>409709</v>
      </c>
      <c r="K293" s="1045">
        <v>41394</v>
      </c>
      <c r="L293" s="1040" t="s">
        <v>561</v>
      </c>
      <c r="M293" s="1041">
        <v>2000</v>
      </c>
      <c r="N293" s="1041" t="s">
        <v>576</v>
      </c>
      <c r="O293" s="1041" t="s">
        <v>576</v>
      </c>
      <c r="P293" s="1041" t="s">
        <v>576</v>
      </c>
      <c r="Q293" s="1041" t="s">
        <v>576</v>
      </c>
      <c r="R293" s="1040">
        <v>9</v>
      </c>
      <c r="S293" s="1041">
        <v>1</v>
      </c>
      <c r="T293" s="1042">
        <v>768</v>
      </c>
      <c r="U293" s="1042">
        <v>74931</v>
      </c>
      <c r="V293" s="1042">
        <v>11320</v>
      </c>
      <c r="W293" s="1042"/>
      <c r="X293" s="1042">
        <v>98</v>
      </c>
      <c r="Y293" s="1042">
        <v>15</v>
      </c>
      <c r="Z293" s="1040" t="s">
        <v>577</v>
      </c>
      <c r="AA293" s="1040" t="s">
        <v>578</v>
      </c>
      <c r="AB293" s="1040" t="s">
        <v>579</v>
      </c>
      <c r="AC293" s="1040" t="s">
        <v>580</v>
      </c>
      <c r="AD293" s="1040" t="s">
        <v>581</v>
      </c>
      <c r="AE293" s="1054"/>
      <c r="AF293" s="1040" t="s">
        <v>582</v>
      </c>
      <c r="AG293" s="1040">
        <v>0</v>
      </c>
      <c r="AH293" s="1040" t="s">
        <v>1236</v>
      </c>
      <c r="AI293" s="1040" t="s">
        <v>594</v>
      </c>
      <c r="AJ293" s="1040" t="s">
        <v>571</v>
      </c>
      <c r="AK293" s="1041">
        <v>76205</v>
      </c>
      <c r="AL293" s="1040" t="s">
        <v>1248</v>
      </c>
      <c r="AM293" s="1040" t="s">
        <v>1241</v>
      </c>
      <c r="AN293" s="1040" t="s">
        <v>585</v>
      </c>
      <c r="AO293" s="1040">
        <v>71470</v>
      </c>
      <c r="AP293" s="1040">
        <v>409709</v>
      </c>
    </row>
    <row r="294" spans="1:42" x14ac:dyDescent="0.3">
      <c r="A294" s="1040">
        <v>98</v>
      </c>
      <c r="B294" s="1040">
        <v>75531</v>
      </c>
      <c r="C294" s="1040" t="s">
        <v>558</v>
      </c>
      <c r="D294" s="1040" t="str">
        <f t="shared" si="15"/>
        <v>061901</v>
      </c>
      <c r="E294" s="1040" t="s">
        <v>559</v>
      </c>
      <c r="F294" s="1040" t="str">
        <f t="shared" si="16"/>
        <v>040</v>
      </c>
      <c r="G294" s="1040" t="s">
        <v>1235</v>
      </c>
      <c r="H294" s="1041" t="str">
        <f>"20F"</f>
        <v>20F</v>
      </c>
      <c r="I294" s="1040" t="s">
        <v>1249</v>
      </c>
      <c r="J294" s="1040">
        <v>409710</v>
      </c>
      <c r="K294" s="1045">
        <v>41394</v>
      </c>
      <c r="L294" s="1040" t="s">
        <v>561</v>
      </c>
      <c r="M294" s="1041">
        <v>2000</v>
      </c>
      <c r="N294" s="1041" t="s">
        <v>576</v>
      </c>
      <c r="O294" s="1041" t="s">
        <v>576</v>
      </c>
      <c r="P294" s="1041" t="s">
        <v>576</v>
      </c>
      <c r="Q294" s="1041" t="s">
        <v>576</v>
      </c>
      <c r="R294" s="1040">
        <v>9</v>
      </c>
      <c r="S294" s="1041">
        <v>1</v>
      </c>
      <c r="T294" s="1042">
        <v>768</v>
      </c>
      <c r="U294" s="1042">
        <v>74931</v>
      </c>
      <c r="V294" s="1042">
        <v>11320</v>
      </c>
      <c r="W294" s="1042"/>
      <c r="X294" s="1042">
        <v>98</v>
      </c>
      <c r="Y294" s="1042">
        <v>15</v>
      </c>
      <c r="Z294" s="1040" t="s">
        <v>577</v>
      </c>
      <c r="AA294" s="1040" t="s">
        <v>578</v>
      </c>
      <c r="AB294" s="1040" t="s">
        <v>579</v>
      </c>
      <c r="AC294" s="1040" t="s">
        <v>580</v>
      </c>
      <c r="AD294" s="1040" t="s">
        <v>581</v>
      </c>
      <c r="AE294" s="1054"/>
      <c r="AF294" s="1040" t="s">
        <v>582</v>
      </c>
      <c r="AG294" s="1040">
        <v>0</v>
      </c>
      <c r="AH294" s="1040" t="s">
        <v>1236</v>
      </c>
      <c r="AI294" s="1040" t="s">
        <v>594</v>
      </c>
      <c r="AJ294" s="1040" t="s">
        <v>571</v>
      </c>
      <c r="AK294" s="1041">
        <v>76205</v>
      </c>
      <c r="AL294" s="1040" t="s">
        <v>1250</v>
      </c>
      <c r="AM294" s="1040" t="s">
        <v>1251</v>
      </c>
      <c r="AN294" s="1040" t="s">
        <v>585</v>
      </c>
      <c r="AO294" s="1040">
        <v>71470</v>
      </c>
      <c r="AP294" s="1040">
        <v>409710</v>
      </c>
    </row>
    <row r="295" spans="1:42" x14ac:dyDescent="0.3">
      <c r="A295" s="1040">
        <v>98</v>
      </c>
      <c r="B295" s="1040">
        <v>75531</v>
      </c>
      <c r="C295" s="1040" t="s">
        <v>558</v>
      </c>
      <c r="D295" s="1040" t="str">
        <f t="shared" si="15"/>
        <v>061901</v>
      </c>
      <c r="E295" s="1040" t="s">
        <v>559</v>
      </c>
      <c r="F295" s="1040" t="str">
        <f t="shared" si="16"/>
        <v>040</v>
      </c>
      <c r="G295" s="1040" t="s">
        <v>1235</v>
      </c>
      <c r="H295" s="1041" t="str">
        <f>"20G"</f>
        <v>20G</v>
      </c>
      <c r="I295" s="1040" t="s">
        <v>1252</v>
      </c>
      <c r="J295" s="1040">
        <v>409711</v>
      </c>
      <c r="K295" s="1045">
        <v>41394</v>
      </c>
      <c r="L295" s="1040" t="s">
        <v>561</v>
      </c>
      <c r="M295" s="1041">
        <v>2000</v>
      </c>
      <c r="N295" s="1041" t="s">
        <v>576</v>
      </c>
      <c r="O295" s="1041" t="s">
        <v>576</v>
      </c>
      <c r="P295" s="1041" t="s">
        <v>576</v>
      </c>
      <c r="Q295" s="1041" t="s">
        <v>576</v>
      </c>
      <c r="R295" s="1040">
        <v>9</v>
      </c>
      <c r="S295" s="1041">
        <v>1</v>
      </c>
      <c r="T295" s="1042">
        <v>768</v>
      </c>
      <c r="U295" s="1042">
        <v>74931</v>
      </c>
      <c r="V295" s="1042">
        <v>11320</v>
      </c>
      <c r="W295" s="1042"/>
      <c r="X295" s="1042">
        <v>98</v>
      </c>
      <c r="Y295" s="1042">
        <v>15</v>
      </c>
      <c r="Z295" s="1040" t="s">
        <v>577</v>
      </c>
      <c r="AA295" s="1040" t="s">
        <v>578</v>
      </c>
      <c r="AB295" s="1040" t="s">
        <v>579</v>
      </c>
      <c r="AC295" s="1040" t="s">
        <v>580</v>
      </c>
      <c r="AD295" s="1040" t="s">
        <v>581</v>
      </c>
      <c r="AE295" s="1054"/>
      <c r="AF295" s="1040" t="s">
        <v>582</v>
      </c>
      <c r="AG295" s="1040">
        <v>0</v>
      </c>
      <c r="AH295" s="1040" t="s">
        <v>1236</v>
      </c>
      <c r="AI295" s="1040" t="s">
        <v>594</v>
      </c>
      <c r="AJ295" s="1040" t="s">
        <v>571</v>
      </c>
      <c r="AK295" s="1041">
        <v>76205</v>
      </c>
      <c r="AL295" s="1040" t="s">
        <v>1240</v>
      </c>
      <c r="AM295" s="1040" t="s">
        <v>1253</v>
      </c>
      <c r="AN295" s="1040" t="s">
        <v>585</v>
      </c>
      <c r="AO295" s="1040">
        <v>71470</v>
      </c>
      <c r="AP295" s="1040">
        <v>409711</v>
      </c>
    </row>
    <row r="296" spans="1:42" x14ac:dyDescent="0.3">
      <c r="A296" s="1040">
        <v>98</v>
      </c>
      <c r="B296" s="1040">
        <v>75531</v>
      </c>
      <c r="C296" s="1040" t="s">
        <v>558</v>
      </c>
      <c r="D296" s="1040" t="str">
        <f t="shared" si="15"/>
        <v>061901</v>
      </c>
      <c r="E296" s="1040" t="s">
        <v>559</v>
      </c>
      <c r="F296" s="1040" t="str">
        <f t="shared" si="16"/>
        <v>040</v>
      </c>
      <c r="G296" s="1040" t="s">
        <v>1235</v>
      </c>
      <c r="H296" s="1041" t="str">
        <f>"999"</f>
        <v>999</v>
      </c>
      <c r="I296" s="1040" t="s">
        <v>586</v>
      </c>
      <c r="J296" s="1040">
        <v>409757</v>
      </c>
      <c r="K296" s="1040"/>
      <c r="L296" s="1040" t="s">
        <v>561</v>
      </c>
      <c r="M296" s="1041"/>
      <c r="N296" s="1041" t="s">
        <v>576</v>
      </c>
      <c r="O296" s="1041" t="s">
        <v>576</v>
      </c>
      <c r="P296" s="1041" t="s">
        <v>576</v>
      </c>
      <c r="Q296" s="1041" t="s">
        <v>576</v>
      </c>
      <c r="R296" s="1040">
        <v>0</v>
      </c>
      <c r="S296" s="1041">
        <v>0</v>
      </c>
      <c r="T296" s="1042"/>
      <c r="U296" s="1042"/>
      <c r="V296" s="1042"/>
      <c r="W296" s="1042">
        <v>328153</v>
      </c>
      <c r="X296" s="1042"/>
      <c r="Y296" s="1042"/>
      <c r="Z296" s="1040"/>
      <c r="AA296" s="1040"/>
      <c r="AB296" s="1040"/>
      <c r="AC296" s="1040"/>
      <c r="AD296" s="1040"/>
      <c r="AE296" s="1041"/>
      <c r="AF296" s="1040"/>
      <c r="AG296" s="1040">
        <v>0</v>
      </c>
      <c r="AH296" s="1040" t="s">
        <v>1236</v>
      </c>
      <c r="AI296" s="1040" t="s">
        <v>594</v>
      </c>
      <c r="AJ296" s="1040" t="s">
        <v>571</v>
      </c>
      <c r="AK296" s="1041">
        <v>76205</v>
      </c>
      <c r="AL296" s="1040"/>
      <c r="AM296" s="1040"/>
      <c r="AN296" s="1040"/>
      <c r="AO296" s="1040">
        <v>0</v>
      </c>
      <c r="AP296" s="1040">
        <v>409757</v>
      </c>
    </row>
    <row r="297" spans="1:42" s="1059" customFormat="1" x14ac:dyDescent="0.3">
      <c r="A297" s="1056"/>
      <c r="B297" s="1056"/>
      <c r="C297" s="1056"/>
      <c r="D297" s="1056"/>
      <c r="E297" s="1056"/>
      <c r="F297" s="1056"/>
      <c r="G297" s="1056"/>
      <c r="H297" s="1057"/>
      <c r="I297" s="1056"/>
      <c r="J297" s="1056"/>
      <c r="K297" s="1056"/>
      <c r="L297" s="1056"/>
      <c r="M297" s="1057"/>
      <c r="N297" s="1057"/>
      <c r="O297" s="1057"/>
      <c r="P297" s="1057"/>
      <c r="Q297" s="1057"/>
      <c r="R297" s="1056"/>
      <c r="S297" s="1057"/>
      <c r="T297" s="1058"/>
      <c r="U297" s="1058"/>
      <c r="V297" s="1058"/>
      <c r="W297" s="1058"/>
      <c r="X297" s="1058"/>
      <c r="Y297" s="1058"/>
      <c r="Z297" s="1056"/>
      <c r="AA297" s="1056"/>
      <c r="AB297" s="1056"/>
      <c r="AC297" s="1056"/>
      <c r="AD297" s="1056"/>
      <c r="AE297" s="1057"/>
      <c r="AF297" s="1056"/>
      <c r="AG297" s="1056"/>
      <c r="AH297" s="1056"/>
      <c r="AI297" s="1056"/>
      <c r="AJ297" s="1056"/>
      <c r="AK297" s="1057"/>
      <c r="AL297" s="1056"/>
      <c r="AM297" s="1056"/>
      <c r="AN297" s="1056"/>
      <c r="AO297" s="1056"/>
      <c r="AP297" s="1056"/>
    </row>
    <row r="298" spans="1:42" s="1059" customFormat="1" x14ac:dyDescent="0.3">
      <c r="A298" s="1060"/>
      <c r="B298" s="1060"/>
      <c r="C298" s="1060"/>
      <c r="D298" s="1060"/>
      <c r="E298" s="1060"/>
      <c r="F298" s="1060"/>
      <c r="G298" s="1060"/>
      <c r="H298" s="1061"/>
      <c r="I298" s="1062" t="s">
        <v>1254</v>
      </c>
      <c r="J298" s="1060"/>
      <c r="K298" s="1060"/>
      <c r="L298" s="1060"/>
      <c r="M298" s="1061"/>
      <c r="N298" s="1061"/>
      <c r="O298" s="1061"/>
      <c r="P298" s="1061"/>
      <c r="Q298" s="1061"/>
      <c r="R298" s="1060"/>
      <c r="S298" s="1061"/>
      <c r="T298" s="1063"/>
      <c r="U298" s="1063"/>
      <c r="V298" s="1063"/>
      <c r="W298" s="1063"/>
      <c r="X298" s="1063"/>
      <c r="Y298" s="1063"/>
      <c r="Z298" s="1060"/>
      <c r="AA298" s="1060"/>
      <c r="AB298" s="1060"/>
      <c r="AC298" s="1060"/>
      <c r="AD298" s="1060"/>
      <c r="AE298" s="1061"/>
      <c r="AF298" s="1060"/>
      <c r="AG298" s="1060"/>
      <c r="AH298" s="1060"/>
      <c r="AI298" s="1060"/>
      <c r="AJ298" s="1060"/>
      <c r="AK298" s="1061"/>
      <c r="AL298" s="1060"/>
      <c r="AM298" s="1060"/>
      <c r="AN298" s="1060"/>
      <c r="AO298" s="1060"/>
      <c r="AP298" s="1060"/>
    </row>
    <row r="299" spans="1:42" x14ac:dyDescent="0.3">
      <c r="A299" s="1040">
        <v>98</v>
      </c>
      <c r="B299" s="1040">
        <v>75531</v>
      </c>
      <c r="C299" s="1040" t="s">
        <v>558</v>
      </c>
      <c r="D299" s="1040" t="str">
        <f t="shared" si="15"/>
        <v>061901</v>
      </c>
      <c r="E299" s="1040" t="s">
        <v>559</v>
      </c>
      <c r="F299" s="1040" t="str">
        <f t="shared" ref="F299:F308" si="17">"041"</f>
        <v>041</v>
      </c>
      <c r="H299" s="1041" t="str">
        <f>"11A"</f>
        <v>11A</v>
      </c>
      <c r="I299" s="1040" t="s">
        <v>901</v>
      </c>
      <c r="J299" s="1040">
        <v>409539</v>
      </c>
      <c r="K299" s="1045">
        <v>41400</v>
      </c>
      <c r="L299" s="1040" t="s">
        <v>561</v>
      </c>
      <c r="M299" s="1041">
        <v>1935</v>
      </c>
      <c r="N299" s="1041" t="s">
        <v>562</v>
      </c>
      <c r="O299" s="1041" t="s">
        <v>562</v>
      </c>
      <c r="P299" s="1041" t="s">
        <v>562</v>
      </c>
      <c r="Q299" s="1041" t="s">
        <v>562</v>
      </c>
      <c r="R299" s="1040">
        <v>13</v>
      </c>
      <c r="S299" s="1041">
        <v>2</v>
      </c>
      <c r="T299" s="1042">
        <v>55748</v>
      </c>
      <c r="U299" s="1042">
        <v>10284924</v>
      </c>
      <c r="V299" s="1042">
        <v>934126</v>
      </c>
      <c r="W299" s="1042"/>
      <c r="X299" s="1042">
        <v>184</v>
      </c>
      <c r="Y299" s="1042">
        <v>17</v>
      </c>
      <c r="Z299" s="1040" t="s">
        <v>563</v>
      </c>
      <c r="AA299" s="1040" t="s">
        <v>1255</v>
      </c>
      <c r="AB299" s="1040" t="s">
        <v>565</v>
      </c>
      <c r="AC299" s="1040" t="s">
        <v>566</v>
      </c>
      <c r="AD299" s="1040" t="s">
        <v>702</v>
      </c>
      <c r="AE299" s="1055"/>
      <c r="AF299" s="1040" t="s">
        <v>592</v>
      </c>
      <c r="AG299" s="1040">
        <v>0</v>
      </c>
      <c r="AH299" s="1040" t="s">
        <v>1256</v>
      </c>
      <c r="AI299" s="1040" t="s">
        <v>594</v>
      </c>
      <c r="AJ299" s="1040" t="s">
        <v>571</v>
      </c>
      <c r="AK299" s="1041">
        <v>76201</v>
      </c>
      <c r="AL299" s="1040" t="s">
        <v>1257</v>
      </c>
      <c r="AM299" s="1040" t="s">
        <v>1258</v>
      </c>
      <c r="AN299" s="1040" t="s">
        <v>602</v>
      </c>
      <c r="AO299" s="1040">
        <v>9810000</v>
      </c>
      <c r="AP299" s="1040">
        <v>409539</v>
      </c>
    </row>
    <row r="300" spans="1:42" x14ac:dyDescent="0.3">
      <c r="A300" s="1040">
        <v>98</v>
      </c>
      <c r="B300" s="1040">
        <v>75531</v>
      </c>
      <c r="C300" s="1040" t="s">
        <v>558</v>
      </c>
      <c r="D300" s="1040" t="str">
        <f t="shared" si="15"/>
        <v>061901</v>
      </c>
      <c r="E300" s="1040" t="s">
        <v>559</v>
      </c>
      <c r="F300" s="1040" t="str">
        <f t="shared" si="17"/>
        <v>041</v>
      </c>
      <c r="G300" s="1040" t="s">
        <v>1254</v>
      </c>
      <c r="H300" s="1041" t="str">
        <f>"11B"</f>
        <v>11B</v>
      </c>
      <c r="I300" s="1040" t="s">
        <v>1259</v>
      </c>
      <c r="J300" s="1040">
        <v>409540</v>
      </c>
      <c r="K300" s="1045">
        <v>41400</v>
      </c>
      <c r="L300" s="1040" t="s">
        <v>561</v>
      </c>
      <c r="M300" s="1041">
        <v>1981</v>
      </c>
      <c r="N300" s="1041" t="s">
        <v>562</v>
      </c>
      <c r="O300" s="1041" t="s">
        <v>562</v>
      </c>
      <c r="P300" s="1041" t="s">
        <v>562</v>
      </c>
      <c r="Q300" s="1041" t="s">
        <v>562</v>
      </c>
      <c r="R300" s="1040">
        <v>20</v>
      </c>
      <c r="S300" s="1041">
        <v>2</v>
      </c>
      <c r="T300" s="1042">
        <v>46936</v>
      </c>
      <c r="U300" s="1042">
        <v>6673144</v>
      </c>
      <c r="V300" s="1042">
        <v>786955</v>
      </c>
      <c r="W300" s="1042"/>
      <c r="X300" s="1042">
        <v>142</v>
      </c>
      <c r="Y300" s="1042">
        <v>17</v>
      </c>
      <c r="Z300" s="1040" t="s">
        <v>563</v>
      </c>
      <c r="AA300" s="1040" t="s">
        <v>1260</v>
      </c>
      <c r="AB300" s="1040" t="s">
        <v>1261</v>
      </c>
      <c r="AC300" s="1040" t="s">
        <v>1262</v>
      </c>
      <c r="AD300" s="1040" t="s">
        <v>591</v>
      </c>
      <c r="AE300" s="1055"/>
      <c r="AF300" s="1040" t="s">
        <v>592</v>
      </c>
      <c r="AG300" s="1040">
        <v>0</v>
      </c>
      <c r="AH300" s="1040" t="s">
        <v>1256</v>
      </c>
      <c r="AI300" s="1040" t="s">
        <v>594</v>
      </c>
      <c r="AJ300" s="1040" t="s">
        <v>571</v>
      </c>
      <c r="AK300" s="1041">
        <v>76201</v>
      </c>
      <c r="AL300" s="1040" t="s">
        <v>1263</v>
      </c>
      <c r="AM300" s="1040" t="s">
        <v>1264</v>
      </c>
      <c r="AN300" s="1040" t="s">
        <v>1265</v>
      </c>
      <c r="AO300" s="1040">
        <v>6365000</v>
      </c>
      <c r="AP300" s="1040">
        <v>409540</v>
      </c>
    </row>
    <row r="301" spans="1:42" x14ac:dyDescent="0.3">
      <c r="A301" s="1040">
        <v>98</v>
      </c>
      <c r="B301" s="1040">
        <v>75531</v>
      </c>
      <c r="C301" s="1040" t="s">
        <v>558</v>
      </c>
      <c r="D301" s="1040" t="str">
        <f t="shared" si="15"/>
        <v>061901</v>
      </c>
      <c r="E301" s="1040" t="s">
        <v>559</v>
      </c>
      <c r="F301" s="1040" t="str">
        <f t="shared" si="17"/>
        <v>041</v>
      </c>
      <c r="G301" s="1040" t="s">
        <v>1254</v>
      </c>
      <c r="H301" s="1041" t="str">
        <f>"11C"</f>
        <v>11C</v>
      </c>
      <c r="I301" s="1040" t="s">
        <v>1266</v>
      </c>
      <c r="J301" s="1040">
        <v>409541</v>
      </c>
      <c r="K301" s="1045">
        <v>41400</v>
      </c>
      <c r="L301" s="1040" t="s">
        <v>561</v>
      </c>
      <c r="M301" s="1041">
        <v>1976</v>
      </c>
      <c r="N301" s="1041" t="s">
        <v>562</v>
      </c>
      <c r="O301" s="1041" t="s">
        <v>562</v>
      </c>
      <c r="P301" s="1041" t="s">
        <v>562</v>
      </c>
      <c r="Q301" s="1041" t="s">
        <v>562</v>
      </c>
      <c r="R301" s="1040">
        <v>12</v>
      </c>
      <c r="S301" s="1041">
        <v>1</v>
      </c>
      <c r="T301" s="1042">
        <v>16224</v>
      </c>
      <c r="U301" s="1042">
        <v>2407154</v>
      </c>
      <c r="V301" s="1042">
        <v>271858</v>
      </c>
      <c r="W301" s="1042"/>
      <c r="X301" s="1042">
        <v>148</v>
      </c>
      <c r="Y301" s="1042">
        <v>17</v>
      </c>
      <c r="Z301" s="1040" t="s">
        <v>563</v>
      </c>
      <c r="AA301" s="1040" t="s">
        <v>1267</v>
      </c>
      <c r="AB301" s="1040" t="s">
        <v>565</v>
      </c>
      <c r="AC301" s="1040" t="s">
        <v>566</v>
      </c>
      <c r="AD301" s="1040" t="s">
        <v>702</v>
      </c>
      <c r="AE301" s="1055"/>
      <c r="AF301" s="1040" t="s">
        <v>592</v>
      </c>
      <c r="AG301" s="1040">
        <v>0</v>
      </c>
      <c r="AH301" s="1040" t="s">
        <v>1256</v>
      </c>
      <c r="AI301" s="1040" t="s">
        <v>594</v>
      </c>
      <c r="AJ301" s="1040" t="s">
        <v>571</v>
      </c>
      <c r="AK301" s="1041">
        <v>76201</v>
      </c>
      <c r="AL301" s="1040" t="s">
        <v>1268</v>
      </c>
      <c r="AM301" s="1040" t="s">
        <v>1269</v>
      </c>
      <c r="AN301" s="1040" t="s">
        <v>1270</v>
      </c>
      <c r="AO301" s="1040">
        <v>2296000</v>
      </c>
      <c r="AP301" s="1040">
        <v>409541</v>
      </c>
    </row>
    <row r="302" spans="1:42" x14ac:dyDescent="0.3">
      <c r="A302" s="1040">
        <v>98</v>
      </c>
      <c r="B302" s="1040">
        <v>75531</v>
      </c>
      <c r="C302" s="1040" t="s">
        <v>558</v>
      </c>
      <c r="D302" s="1040" t="str">
        <f t="shared" si="15"/>
        <v>061901</v>
      </c>
      <c r="E302" s="1040" t="s">
        <v>559</v>
      </c>
      <c r="F302" s="1040" t="str">
        <f t="shared" si="17"/>
        <v>041</v>
      </c>
      <c r="G302" s="1040" t="s">
        <v>1254</v>
      </c>
      <c r="H302" s="1041" t="str">
        <f>"11F"</f>
        <v>11F</v>
      </c>
      <c r="I302" s="1040" t="s">
        <v>1271</v>
      </c>
      <c r="J302" s="1040">
        <v>409542</v>
      </c>
      <c r="K302" s="1045">
        <v>41400</v>
      </c>
      <c r="L302" s="1040" t="s">
        <v>561</v>
      </c>
      <c r="M302" s="1041">
        <v>1996</v>
      </c>
      <c r="N302" s="1041" t="s">
        <v>562</v>
      </c>
      <c r="O302" s="1041" t="s">
        <v>562</v>
      </c>
      <c r="P302" s="1041" t="s">
        <v>562</v>
      </c>
      <c r="Q302" s="1041" t="s">
        <v>562</v>
      </c>
      <c r="R302" s="1040">
        <v>16</v>
      </c>
      <c r="S302" s="1041">
        <v>1</v>
      </c>
      <c r="T302" s="1042">
        <v>13014</v>
      </c>
      <c r="U302" s="1042">
        <v>2189085</v>
      </c>
      <c r="V302" s="1042">
        <v>328068</v>
      </c>
      <c r="W302" s="1042"/>
      <c r="X302" s="1042">
        <v>168</v>
      </c>
      <c r="Y302" s="1042">
        <v>25</v>
      </c>
      <c r="Z302" s="1040" t="s">
        <v>563</v>
      </c>
      <c r="AA302" s="1040" t="s">
        <v>693</v>
      </c>
      <c r="AB302" s="1040" t="s">
        <v>565</v>
      </c>
      <c r="AC302" s="1040" t="s">
        <v>566</v>
      </c>
      <c r="AD302" s="1040" t="s">
        <v>591</v>
      </c>
      <c r="AE302" s="1055"/>
      <c r="AF302" s="1040" t="s">
        <v>592</v>
      </c>
      <c r="AG302" s="1040">
        <v>0</v>
      </c>
      <c r="AH302" s="1040" t="s">
        <v>1256</v>
      </c>
      <c r="AI302" s="1040" t="s">
        <v>594</v>
      </c>
      <c r="AJ302" s="1040" t="s">
        <v>571</v>
      </c>
      <c r="AK302" s="1041">
        <v>76201</v>
      </c>
      <c r="AL302" s="1040" t="s">
        <v>1272</v>
      </c>
      <c r="AM302" s="1040" t="s">
        <v>1273</v>
      </c>
      <c r="AN302" s="1040" t="s">
        <v>1274</v>
      </c>
      <c r="AO302" s="1040">
        <v>2088000</v>
      </c>
      <c r="AP302" s="1040">
        <v>409542</v>
      </c>
    </row>
    <row r="303" spans="1:42" x14ac:dyDescent="0.3">
      <c r="A303" s="1040">
        <v>98</v>
      </c>
      <c r="B303" s="1040">
        <v>75531</v>
      </c>
      <c r="C303" s="1040" t="s">
        <v>558</v>
      </c>
      <c r="D303" s="1040" t="str">
        <f t="shared" si="15"/>
        <v>061901</v>
      </c>
      <c r="E303" s="1040" t="s">
        <v>559</v>
      </c>
      <c r="F303" s="1040" t="str">
        <f t="shared" si="17"/>
        <v>041</v>
      </c>
      <c r="G303" s="1040" t="s">
        <v>1254</v>
      </c>
      <c r="H303" s="1041" t="str">
        <f>"11G"</f>
        <v>11G</v>
      </c>
      <c r="I303" s="1040" t="s">
        <v>1275</v>
      </c>
      <c r="J303" s="1040">
        <v>409543</v>
      </c>
      <c r="K303" s="1045">
        <v>41400</v>
      </c>
      <c r="L303" s="1040" t="s">
        <v>561</v>
      </c>
      <c r="M303" s="1041">
        <v>2009</v>
      </c>
      <c r="N303" s="1041" t="s">
        <v>562</v>
      </c>
      <c r="O303" s="1041" t="s">
        <v>562</v>
      </c>
      <c r="P303" s="1041" t="s">
        <v>562</v>
      </c>
      <c r="Q303" s="1041" t="s">
        <v>562</v>
      </c>
      <c r="R303" s="1040">
        <v>18</v>
      </c>
      <c r="S303" s="1041">
        <v>2</v>
      </c>
      <c r="T303" s="1042">
        <v>64380</v>
      </c>
      <c r="U303" s="1042">
        <v>9612891</v>
      </c>
      <c r="V303" s="1042">
        <v>1079254</v>
      </c>
      <c r="W303" s="1042"/>
      <c r="X303" s="1042">
        <v>149</v>
      </c>
      <c r="Y303" s="1042">
        <v>17</v>
      </c>
      <c r="Z303" s="1040" t="s">
        <v>563</v>
      </c>
      <c r="AA303" s="1040" t="s">
        <v>1276</v>
      </c>
      <c r="AB303" s="1040" t="s">
        <v>637</v>
      </c>
      <c r="AC303" s="1040" t="s">
        <v>638</v>
      </c>
      <c r="AD303" s="1040" t="s">
        <v>1277</v>
      </c>
      <c r="AE303" s="1041"/>
      <c r="AF303" s="1040" t="s">
        <v>908</v>
      </c>
      <c r="AG303" s="1040">
        <v>0</v>
      </c>
      <c r="AH303" s="1040" t="s">
        <v>1256</v>
      </c>
      <c r="AI303" s="1040" t="s">
        <v>594</v>
      </c>
      <c r="AJ303" s="1040" t="s">
        <v>571</v>
      </c>
      <c r="AK303" s="1041">
        <v>76201</v>
      </c>
      <c r="AL303" s="1040" t="s">
        <v>1278</v>
      </c>
      <c r="AM303" s="1040" t="s">
        <v>1279</v>
      </c>
      <c r="AN303" s="1040" t="s">
        <v>1280</v>
      </c>
      <c r="AO303" s="1040">
        <v>9169000</v>
      </c>
      <c r="AP303" s="1040">
        <v>409543</v>
      </c>
    </row>
    <row r="304" spans="1:42" x14ac:dyDescent="0.3">
      <c r="A304" s="1040">
        <v>98</v>
      </c>
      <c r="B304" s="1040">
        <v>75531</v>
      </c>
      <c r="C304" s="1040" t="s">
        <v>558</v>
      </c>
      <c r="D304" s="1040" t="str">
        <f t="shared" si="15"/>
        <v>061901</v>
      </c>
      <c r="E304" s="1040" t="s">
        <v>559</v>
      </c>
      <c r="F304" s="1040" t="str">
        <f t="shared" si="17"/>
        <v>041</v>
      </c>
      <c r="G304" s="1040" t="s">
        <v>1254</v>
      </c>
      <c r="H304" s="1041" t="str">
        <f>"11H"</f>
        <v>11H</v>
      </c>
      <c r="I304" s="1040" t="s">
        <v>1281</v>
      </c>
      <c r="J304" s="1040">
        <v>409712</v>
      </c>
      <c r="K304" s="1045">
        <v>41400</v>
      </c>
      <c r="L304" s="1040" t="s">
        <v>561</v>
      </c>
      <c r="M304" s="1041">
        <v>2000</v>
      </c>
      <c r="N304" s="1041" t="s">
        <v>576</v>
      </c>
      <c r="O304" s="1041" t="s">
        <v>576</v>
      </c>
      <c r="P304" s="1041" t="s">
        <v>576</v>
      </c>
      <c r="Q304" s="1041" t="s">
        <v>576</v>
      </c>
      <c r="R304" s="1040">
        <v>9</v>
      </c>
      <c r="S304" s="1041">
        <v>1</v>
      </c>
      <c r="T304" s="1042">
        <v>768</v>
      </c>
      <c r="U304" s="1042">
        <v>73388</v>
      </c>
      <c r="V304" s="1042">
        <v>11242</v>
      </c>
      <c r="W304" s="1042"/>
      <c r="X304" s="1042">
        <v>96</v>
      </c>
      <c r="Y304" s="1042">
        <v>15</v>
      </c>
      <c r="Z304" s="1040" t="s">
        <v>577</v>
      </c>
      <c r="AA304" s="1040" t="s">
        <v>578</v>
      </c>
      <c r="AB304" s="1040" t="s">
        <v>579</v>
      </c>
      <c r="AC304" s="1040" t="s">
        <v>580</v>
      </c>
      <c r="AD304" s="1040" t="s">
        <v>581</v>
      </c>
      <c r="AE304" s="1054"/>
      <c r="AF304" s="1040" t="s">
        <v>582</v>
      </c>
      <c r="AG304" s="1040">
        <v>0</v>
      </c>
      <c r="AH304" s="1040" t="s">
        <v>1256</v>
      </c>
      <c r="AI304" s="1040" t="s">
        <v>594</v>
      </c>
      <c r="AJ304" s="1040" t="s">
        <v>571</v>
      </c>
      <c r="AK304" s="1041">
        <v>76201</v>
      </c>
      <c r="AL304" s="1040" t="s">
        <v>1282</v>
      </c>
      <c r="AM304" s="1040" t="s">
        <v>1283</v>
      </c>
      <c r="AN304" s="1040" t="s">
        <v>585</v>
      </c>
      <c r="AO304" s="1040">
        <v>70000</v>
      </c>
      <c r="AP304" s="1040">
        <v>409712</v>
      </c>
    </row>
    <row r="305" spans="1:42" x14ac:dyDescent="0.3">
      <c r="A305" s="1040">
        <v>98</v>
      </c>
      <c r="B305" s="1040">
        <v>75531</v>
      </c>
      <c r="C305" s="1040" t="s">
        <v>558</v>
      </c>
      <c r="D305" s="1040" t="str">
        <f t="shared" si="15"/>
        <v>061901</v>
      </c>
      <c r="E305" s="1040" t="s">
        <v>559</v>
      </c>
      <c r="F305" s="1040" t="str">
        <f t="shared" si="17"/>
        <v>041</v>
      </c>
      <c r="G305" s="1040" t="s">
        <v>1254</v>
      </c>
      <c r="H305" s="1041" t="str">
        <f>"11I"</f>
        <v>11I</v>
      </c>
      <c r="I305" s="1040" t="s">
        <v>1284</v>
      </c>
      <c r="J305" s="1040">
        <v>409713</v>
      </c>
      <c r="K305" s="1045">
        <v>41400</v>
      </c>
      <c r="L305" s="1040" t="s">
        <v>561</v>
      </c>
      <c r="M305" s="1041">
        <v>1996</v>
      </c>
      <c r="N305" s="1041" t="s">
        <v>576</v>
      </c>
      <c r="O305" s="1041" t="s">
        <v>576</v>
      </c>
      <c r="P305" s="1041" t="s">
        <v>576</v>
      </c>
      <c r="Q305" s="1041" t="s">
        <v>576</v>
      </c>
      <c r="R305" s="1040">
        <v>7</v>
      </c>
      <c r="S305" s="1041">
        <v>1</v>
      </c>
      <c r="T305" s="1042">
        <v>48</v>
      </c>
      <c r="U305" s="1042">
        <v>2092</v>
      </c>
      <c r="V305" s="1042">
        <v>1013</v>
      </c>
      <c r="W305" s="1042"/>
      <c r="X305" s="1042">
        <v>44</v>
      </c>
      <c r="Y305" s="1042">
        <v>21</v>
      </c>
      <c r="Z305" s="1040" t="s">
        <v>577</v>
      </c>
      <c r="AA305" s="1040" t="s">
        <v>615</v>
      </c>
      <c r="AB305" s="1040" t="s">
        <v>606</v>
      </c>
      <c r="AC305" s="1040" t="s">
        <v>606</v>
      </c>
      <c r="AD305" s="1040" t="s">
        <v>616</v>
      </c>
      <c r="AE305" s="1055"/>
      <c r="AF305" s="1040" t="s">
        <v>582</v>
      </c>
      <c r="AG305" s="1040">
        <v>0</v>
      </c>
      <c r="AH305" s="1040" t="s">
        <v>1256</v>
      </c>
      <c r="AI305" s="1040" t="s">
        <v>594</v>
      </c>
      <c r="AJ305" s="1040" t="s">
        <v>571</v>
      </c>
      <c r="AK305" s="1041">
        <v>76201</v>
      </c>
      <c r="AL305" s="1040" t="s">
        <v>1285</v>
      </c>
      <c r="AM305" s="1040" t="s">
        <v>1286</v>
      </c>
      <c r="AN305" s="1040"/>
      <c r="AO305" s="1040">
        <v>2000</v>
      </c>
      <c r="AP305" s="1040">
        <v>409713</v>
      </c>
    </row>
    <row r="306" spans="1:42" x14ac:dyDescent="0.3">
      <c r="A306" s="1040">
        <v>98</v>
      </c>
      <c r="B306" s="1040">
        <v>75531</v>
      </c>
      <c r="C306" s="1040" t="s">
        <v>558</v>
      </c>
      <c r="D306" s="1040" t="str">
        <f t="shared" si="15"/>
        <v>061901</v>
      </c>
      <c r="E306" s="1040" t="s">
        <v>559</v>
      </c>
      <c r="F306" s="1040" t="str">
        <f t="shared" si="17"/>
        <v>041</v>
      </c>
      <c r="G306" s="1040" t="s">
        <v>1254</v>
      </c>
      <c r="H306" s="1041" t="str">
        <f>"11J"</f>
        <v>11J</v>
      </c>
      <c r="I306" s="1040" t="s">
        <v>631</v>
      </c>
      <c r="J306" s="1040">
        <v>409714</v>
      </c>
      <c r="K306" s="1045">
        <v>41400</v>
      </c>
      <c r="L306" s="1040" t="s">
        <v>561</v>
      </c>
      <c r="M306" s="1041">
        <v>1996</v>
      </c>
      <c r="N306" s="1041" t="s">
        <v>576</v>
      </c>
      <c r="O306" s="1041" t="s">
        <v>576</v>
      </c>
      <c r="P306" s="1041" t="s">
        <v>576</v>
      </c>
      <c r="Q306" s="1041" t="s">
        <v>576</v>
      </c>
      <c r="R306" s="1040">
        <v>9</v>
      </c>
      <c r="S306" s="1041">
        <v>1</v>
      </c>
      <c r="T306" s="1042">
        <v>144</v>
      </c>
      <c r="U306" s="1042">
        <v>6291</v>
      </c>
      <c r="V306" s="1042">
        <v>4088</v>
      </c>
      <c r="W306" s="1042"/>
      <c r="X306" s="1042">
        <v>44</v>
      </c>
      <c r="Y306" s="1042">
        <v>28</v>
      </c>
      <c r="Z306" s="1040" t="s">
        <v>611</v>
      </c>
      <c r="AA306" s="1040" t="s">
        <v>612</v>
      </c>
      <c r="AB306" s="1040" t="s">
        <v>606</v>
      </c>
      <c r="AC306" s="1040" t="s">
        <v>606</v>
      </c>
      <c r="AD306" s="1040" t="s">
        <v>581</v>
      </c>
      <c r="AE306" s="1054"/>
      <c r="AF306" s="1040" t="s">
        <v>582</v>
      </c>
      <c r="AG306" s="1040">
        <v>0</v>
      </c>
      <c r="AH306" s="1040" t="s">
        <v>1256</v>
      </c>
      <c r="AI306" s="1040" t="s">
        <v>594</v>
      </c>
      <c r="AJ306" s="1040" t="s">
        <v>571</v>
      </c>
      <c r="AK306" s="1041">
        <v>76201</v>
      </c>
      <c r="AL306" s="1040" t="s">
        <v>1287</v>
      </c>
      <c r="AM306" s="1040" t="s">
        <v>1288</v>
      </c>
      <c r="AN306" s="1040"/>
      <c r="AO306" s="1040">
        <v>6000</v>
      </c>
      <c r="AP306" s="1040">
        <v>409714</v>
      </c>
    </row>
    <row r="307" spans="1:42" x14ac:dyDescent="0.3">
      <c r="A307" s="1040">
        <v>98</v>
      </c>
      <c r="B307" s="1040">
        <v>75531</v>
      </c>
      <c r="C307" s="1040" t="s">
        <v>558</v>
      </c>
      <c r="D307" s="1040" t="str">
        <f t="shared" si="15"/>
        <v>061901</v>
      </c>
      <c r="E307" s="1040" t="s">
        <v>559</v>
      </c>
      <c r="F307" s="1040" t="str">
        <f t="shared" si="17"/>
        <v>041</v>
      </c>
      <c r="G307" s="1040" t="s">
        <v>1254</v>
      </c>
      <c r="H307" s="1041" t="str">
        <f>"11K"</f>
        <v>11K</v>
      </c>
      <c r="I307" s="1040" t="s">
        <v>649</v>
      </c>
      <c r="J307" s="1040">
        <v>409715</v>
      </c>
      <c r="K307" s="1045">
        <v>41400</v>
      </c>
      <c r="L307" s="1040" t="s">
        <v>561</v>
      </c>
      <c r="M307" s="1041">
        <v>2000</v>
      </c>
      <c r="N307" s="1041" t="s">
        <v>576</v>
      </c>
      <c r="O307" s="1041" t="s">
        <v>576</v>
      </c>
      <c r="P307" s="1041" t="s">
        <v>576</v>
      </c>
      <c r="Q307" s="1041" t="s">
        <v>576</v>
      </c>
      <c r="R307" s="1040">
        <v>8</v>
      </c>
      <c r="S307" s="1041">
        <v>1</v>
      </c>
      <c r="T307" s="1042">
        <v>450</v>
      </c>
      <c r="U307" s="1042">
        <v>18871</v>
      </c>
      <c r="V307" s="1042">
        <v>12264</v>
      </c>
      <c r="W307" s="1042"/>
      <c r="X307" s="1042">
        <v>42</v>
      </c>
      <c r="Y307" s="1042">
        <v>27</v>
      </c>
      <c r="Z307" s="1040" t="s">
        <v>611</v>
      </c>
      <c r="AA307" s="1040" t="s">
        <v>612</v>
      </c>
      <c r="AB307" s="1040" t="s">
        <v>606</v>
      </c>
      <c r="AC307" s="1040" t="s">
        <v>606</v>
      </c>
      <c r="AD307" s="1040" t="s">
        <v>581</v>
      </c>
      <c r="AE307" s="1054"/>
      <c r="AF307" s="1040" t="s">
        <v>582</v>
      </c>
      <c r="AG307" s="1040">
        <v>0</v>
      </c>
      <c r="AH307" s="1040" t="s">
        <v>1256</v>
      </c>
      <c r="AI307" s="1040" t="s">
        <v>594</v>
      </c>
      <c r="AJ307" s="1040" t="s">
        <v>571</v>
      </c>
      <c r="AK307" s="1041">
        <v>76201</v>
      </c>
      <c r="AL307" s="1040" t="s">
        <v>1289</v>
      </c>
      <c r="AM307" s="1040" t="s">
        <v>1290</v>
      </c>
      <c r="AN307" s="1040"/>
      <c r="AO307" s="1040">
        <v>18000</v>
      </c>
      <c r="AP307" s="1040">
        <v>409715</v>
      </c>
    </row>
    <row r="308" spans="1:42" x14ac:dyDescent="0.3">
      <c r="A308" s="1040">
        <v>98</v>
      </c>
      <c r="B308" s="1040">
        <v>75531</v>
      </c>
      <c r="C308" s="1040" t="s">
        <v>558</v>
      </c>
      <c r="D308" s="1040" t="str">
        <f t="shared" si="15"/>
        <v>061901</v>
      </c>
      <c r="E308" s="1040" t="s">
        <v>559</v>
      </c>
      <c r="F308" s="1040" t="str">
        <f t="shared" si="17"/>
        <v>041</v>
      </c>
      <c r="G308" s="1040" t="s">
        <v>1254</v>
      </c>
      <c r="H308" s="1041" t="str">
        <f>"999"</f>
        <v>999</v>
      </c>
      <c r="I308" s="1040" t="s">
        <v>586</v>
      </c>
      <c r="J308" s="1040">
        <v>409766</v>
      </c>
      <c r="K308" s="1040"/>
      <c r="L308" s="1040" t="s">
        <v>561</v>
      </c>
      <c r="M308" s="1041"/>
      <c r="N308" s="1041" t="s">
        <v>576</v>
      </c>
      <c r="O308" s="1041" t="s">
        <v>576</v>
      </c>
      <c r="P308" s="1041" t="s">
        <v>576</v>
      </c>
      <c r="Q308" s="1041" t="s">
        <v>576</v>
      </c>
      <c r="R308" s="1040">
        <v>0</v>
      </c>
      <c r="S308" s="1041">
        <v>0</v>
      </c>
      <c r="T308" s="1042"/>
      <c r="U308" s="1042"/>
      <c r="V308" s="1042"/>
      <c r="W308" s="1042">
        <v>132100</v>
      </c>
      <c r="X308" s="1042"/>
      <c r="Y308" s="1042"/>
      <c r="Z308" s="1040"/>
      <c r="AA308" s="1040"/>
      <c r="AB308" s="1040"/>
      <c r="AC308" s="1040"/>
      <c r="AD308" s="1040"/>
      <c r="AE308" s="1041"/>
      <c r="AF308" s="1040"/>
      <c r="AG308" s="1040">
        <v>0</v>
      </c>
      <c r="AH308" s="1040" t="s">
        <v>1256</v>
      </c>
      <c r="AI308" s="1040" t="s">
        <v>594</v>
      </c>
      <c r="AJ308" s="1040" t="s">
        <v>571</v>
      </c>
      <c r="AK308" s="1041">
        <v>76201</v>
      </c>
      <c r="AL308" s="1040"/>
      <c r="AM308" s="1040"/>
      <c r="AN308" s="1040"/>
      <c r="AO308" s="1040">
        <v>0</v>
      </c>
      <c r="AP308" s="1040">
        <v>409766</v>
      </c>
    </row>
    <row r="309" spans="1:42" s="1059" customFormat="1" x14ac:dyDescent="0.3">
      <c r="A309" s="1056"/>
      <c r="B309" s="1056"/>
      <c r="C309" s="1056"/>
      <c r="D309" s="1056"/>
      <c r="E309" s="1056"/>
      <c r="F309" s="1056"/>
      <c r="G309" s="1056"/>
      <c r="H309" s="1057"/>
      <c r="I309" s="1056"/>
      <c r="J309" s="1056"/>
      <c r="K309" s="1056"/>
      <c r="L309" s="1056"/>
      <c r="M309" s="1057"/>
      <c r="N309" s="1057"/>
      <c r="O309" s="1057"/>
      <c r="P309" s="1057"/>
      <c r="Q309" s="1057"/>
      <c r="R309" s="1056"/>
      <c r="S309" s="1057"/>
      <c r="T309" s="1058"/>
      <c r="U309" s="1058"/>
      <c r="V309" s="1058"/>
      <c r="W309" s="1058"/>
      <c r="X309" s="1058"/>
      <c r="Y309" s="1058"/>
      <c r="Z309" s="1056"/>
      <c r="AA309" s="1056"/>
      <c r="AB309" s="1056"/>
      <c r="AC309" s="1056"/>
      <c r="AD309" s="1056"/>
      <c r="AE309" s="1057"/>
      <c r="AF309" s="1056"/>
      <c r="AG309" s="1056"/>
      <c r="AH309" s="1056"/>
      <c r="AI309" s="1056"/>
      <c r="AJ309" s="1056"/>
      <c r="AK309" s="1057"/>
      <c r="AL309" s="1056"/>
      <c r="AM309" s="1056"/>
      <c r="AN309" s="1056"/>
      <c r="AO309" s="1056"/>
      <c r="AP309" s="1056"/>
    </row>
    <row r="310" spans="1:42" s="1059" customFormat="1" x14ac:dyDescent="0.3">
      <c r="A310" s="1060"/>
      <c r="B310" s="1060"/>
      <c r="C310" s="1060"/>
      <c r="D310" s="1060"/>
      <c r="E310" s="1060"/>
      <c r="F310" s="1060"/>
      <c r="G310" s="1060"/>
      <c r="H310" s="1061"/>
      <c r="I310" s="1062" t="s">
        <v>1291</v>
      </c>
      <c r="J310" s="1060"/>
      <c r="K310" s="1060"/>
      <c r="L310" s="1060"/>
      <c r="M310" s="1061"/>
      <c r="N310" s="1061"/>
      <c r="O310" s="1061"/>
      <c r="P310" s="1061"/>
      <c r="Q310" s="1061"/>
      <c r="R310" s="1060"/>
      <c r="S310" s="1061"/>
      <c r="T310" s="1063"/>
      <c r="U310" s="1063"/>
      <c r="V310" s="1063"/>
      <c r="W310" s="1063"/>
      <c r="X310" s="1063"/>
      <c r="Y310" s="1063"/>
      <c r="Z310" s="1060"/>
      <c r="AA310" s="1060"/>
      <c r="AB310" s="1060"/>
      <c r="AC310" s="1060"/>
      <c r="AD310" s="1060"/>
      <c r="AE310" s="1061"/>
      <c r="AF310" s="1060"/>
      <c r="AG310" s="1060"/>
      <c r="AH310" s="1060"/>
      <c r="AI310" s="1060"/>
      <c r="AJ310" s="1060"/>
      <c r="AK310" s="1061"/>
      <c r="AL310" s="1060"/>
      <c r="AM310" s="1060"/>
      <c r="AN310" s="1060"/>
      <c r="AO310" s="1060"/>
      <c r="AP310" s="1060"/>
    </row>
    <row r="311" spans="1:42" x14ac:dyDescent="0.3">
      <c r="A311" s="1040">
        <v>98</v>
      </c>
      <c r="B311" s="1040">
        <v>75531</v>
      </c>
      <c r="C311" s="1040" t="s">
        <v>558</v>
      </c>
      <c r="D311" s="1040" t="str">
        <f t="shared" si="15"/>
        <v>061901</v>
      </c>
      <c r="E311" s="1040" t="s">
        <v>559</v>
      </c>
      <c r="F311" s="1040" t="str">
        <f t="shared" ref="F311:F340" si="18">"042"</f>
        <v>042</v>
      </c>
      <c r="H311" s="1041" t="str">
        <f>"35A"</f>
        <v>35A</v>
      </c>
      <c r="I311" s="1040" t="s">
        <v>589</v>
      </c>
      <c r="J311" s="1040">
        <v>409549</v>
      </c>
      <c r="K311" s="1045">
        <v>41397</v>
      </c>
      <c r="L311" s="1040" t="s">
        <v>561</v>
      </c>
      <c r="M311" s="1041">
        <v>2005</v>
      </c>
      <c r="N311" s="1041" t="s">
        <v>562</v>
      </c>
      <c r="O311" s="1041" t="s">
        <v>562</v>
      </c>
      <c r="P311" s="1041" t="s">
        <v>562</v>
      </c>
      <c r="Q311" s="1041" t="s">
        <v>562</v>
      </c>
      <c r="R311" s="1040">
        <v>20</v>
      </c>
      <c r="S311" s="1041">
        <v>1</v>
      </c>
      <c r="T311" s="1042">
        <v>405685</v>
      </c>
      <c r="U311" s="1042">
        <v>68036710</v>
      </c>
      <c r="V311" s="1042">
        <v>11733812</v>
      </c>
      <c r="W311" s="1042"/>
      <c r="X311" s="1042">
        <v>168</v>
      </c>
      <c r="Y311" s="1042">
        <v>29</v>
      </c>
      <c r="Z311" s="1040" t="s">
        <v>563</v>
      </c>
      <c r="AA311" s="1040" t="s">
        <v>998</v>
      </c>
      <c r="AB311" s="1040" t="s">
        <v>565</v>
      </c>
      <c r="AC311" s="1040" t="s">
        <v>566</v>
      </c>
      <c r="AD311" s="1040" t="s">
        <v>1292</v>
      </c>
      <c r="AE311" s="1041"/>
      <c r="AF311" s="1040" t="s">
        <v>1293</v>
      </c>
      <c r="AG311" s="1040">
        <v>0</v>
      </c>
      <c r="AH311" s="1040" t="s">
        <v>1294</v>
      </c>
      <c r="AI311" s="1040" t="s">
        <v>594</v>
      </c>
      <c r="AJ311" s="1040" t="s">
        <v>571</v>
      </c>
      <c r="AK311" s="1041">
        <v>76210</v>
      </c>
      <c r="AL311" s="1040" t="s">
        <v>1295</v>
      </c>
      <c r="AM311" s="1040" t="s">
        <v>1296</v>
      </c>
      <c r="AN311" s="1040" t="s">
        <v>1297</v>
      </c>
      <c r="AO311" s="1040">
        <v>64895000</v>
      </c>
      <c r="AP311" s="1040">
        <v>409549</v>
      </c>
    </row>
    <row r="312" spans="1:42" x14ac:dyDescent="0.3">
      <c r="A312" s="1040">
        <v>98</v>
      </c>
      <c r="B312" s="1040">
        <v>75531</v>
      </c>
      <c r="C312" s="1040" t="s">
        <v>558</v>
      </c>
      <c r="D312" s="1040" t="str">
        <f t="shared" si="15"/>
        <v>061901</v>
      </c>
      <c r="E312" s="1040" t="s">
        <v>559</v>
      </c>
      <c r="F312" s="1040" t="str">
        <f t="shared" si="18"/>
        <v>042</v>
      </c>
      <c r="G312" s="1040" t="s">
        <v>1291</v>
      </c>
      <c r="H312" s="1041" t="str">
        <f>"35AA"</f>
        <v>35AA</v>
      </c>
      <c r="I312" s="1040" t="s">
        <v>1298</v>
      </c>
      <c r="J312" s="1040">
        <v>409716</v>
      </c>
      <c r="K312" s="1045">
        <v>41397</v>
      </c>
      <c r="L312" s="1040" t="s">
        <v>561</v>
      </c>
      <c r="M312" s="1041">
        <v>2005</v>
      </c>
      <c r="N312" s="1041" t="s">
        <v>576</v>
      </c>
      <c r="O312" s="1041" t="s">
        <v>576</v>
      </c>
      <c r="P312" s="1041" t="s">
        <v>576</v>
      </c>
      <c r="Q312" s="1041" t="s">
        <v>576</v>
      </c>
      <c r="R312" s="1040">
        <v>8</v>
      </c>
      <c r="S312" s="1041">
        <v>1</v>
      </c>
      <c r="T312" s="1042">
        <v>360</v>
      </c>
      <c r="U312" s="1042">
        <v>18871</v>
      </c>
      <c r="V312" s="1042">
        <v>0</v>
      </c>
      <c r="W312" s="1042"/>
      <c r="X312" s="1042">
        <v>52</v>
      </c>
      <c r="Y312" s="1042">
        <v>0</v>
      </c>
      <c r="Z312" s="1040" t="s">
        <v>563</v>
      </c>
      <c r="AA312" s="1040" t="s">
        <v>1299</v>
      </c>
      <c r="AB312" s="1040" t="s">
        <v>606</v>
      </c>
      <c r="AC312" s="1040" t="s">
        <v>606</v>
      </c>
      <c r="AD312" s="1040" t="s">
        <v>581</v>
      </c>
      <c r="AE312" s="1041"/>
      <c r="AF312" s="1040" t="s">
        <v>582</v>
      </c>
      <c r="AG312" s="1040">
        <v>0</v>
      </c>
      <c r="AH312" s="1040" t="s">
        <v>1294</v>
      </c>
      <c r="AI312" s="1040" t="s">
        <v>594</v>
      </c>
      <c r="AJ312" s="1040" t="s">
        <v>571</v>
      </c>
      <c r="AK312" s="1041">
        <v>76210</v>
      </c>
      <c r="AL312" s="1040" t="s">
        <v>1300</v>
      </c>
      <c r="AM312" s="1040" t="s">
        <v>1301</v>
      </c>
      <c r="AN312" s="1040"/>
      <c r="AO312" s="1040">
        <v>18000</v>
      </c>
      <c r="AP312" s="1040">
        <v>409716</v>
      </c>
    </row>
    <row r="313" spans="1:42" x14ac:dyDescent="0.3">
      <c r="A313" s="1040">
        <v>98</v>
      </c>
      <c r="B313" s="1040">
        <v>75531</v>
      </c>
      <c r="C313" s="1040" t="s">
        <v>558</v>
      </c>
      <c r="D313" s="1040" t="str">
        <f t="shared" si="15"/>
        <v>061901</v>
      </c>
      <c r="E313" s="1040" t="s">
        <v>559</v>
      </c>
      <c r="F313" s="1040" t="str">
        <f t="shared" si="18"/>
        <v>042</v>
      </c>
      <c r="G313" s="1040" t="s">
        <v>1291</v>
      </c>
      <c r="H313" s="1041" t="str">
        <f>"35AB"</f>
        <v>35AB</v>
      </c>
      <c r="I313" s="1040" t="s">
        <v>1302</v>
      </c>
      <c r="J313" s="1040">
        <v>409717</v>
      </c>
      <c r="K313" s="1045">
        <v>41397</v>
      </c>
      <c r="L313" s="1040" t="s">
        <v>561</v>
      </c>
      <c r="M313" s="1041">
        <v>2005</v>
      </c>
      <c r="N313" s="1041" t="s">
        <v>576</v>
      </c>
      <c r="O313" s="1041" t="s">
        <v>576</v>
      </c>
      <c r="P313" s="1041" t="s">
        <v>576</v>
      </c>
      <c r="Q313" s="1041" t="s">
        <v>576</v>
      </c>
      <c r="R313" s="1040">
        <v>7</v>
      </c>
      <c r="S313" s="1041">
        <v>1</v>
      </c>
      <c r="T313" s="1042">
        <v>48</v>
      </c>
      <c r="U313" s="1042">
        <v>1046</v>
      </c>
      <c r="V313" s="1042">
        <v>1013</v>
      </c>
      <c r="W313" s="1042"/>
      <c r="X313" s="1042">
        <v>22</v>
      </c>
      <c r="Y313" s="1042">
        <v>21</v>
      </c>
      <c r="Z313" s="1040" t="s">
        <v>577</v>
      </c>
      <c r="AA313" s="1040" t="s">
        <v>615</v>
      </c>
      <c r="AB313" s="1040" t="s">
        <v>606</v>
      </c>
      <c r="AC313" s="1040" t="s">
        <v>580</v>
      </c>
      <c r="AD313" s="1040" t="s">
        <v>616</v>
      </c>
      <c r="AE313" s="1041"/>
      <c r="AF313" s="1040" t="s">
        <v>582</v>
      </c>
      <c r="AG313" s="1040">
        <v>0</v>
      </c>
      <c r="AH313" s="1040" t="s">
        <v>1294</v>
      </c>
      <c r="AI313" s="1040" t="s">
        <v>594</v>
      </c>
      <c r="AJ313" s="1040" t="s">
        <v>571</v>
      </c>
      <c r="AK313" s="1041">
        <v>76210</v>
      </c>
      <c r="AL313" s="1040" t="s">
        <v>1303</v>
      </c>
      <c r="AM313" s="1040" t="s">
        <v>1304</v>
      </c>
      <c r="AN313" s="1040"/>
      <c r="AO313" s="1040">
        <v>1000</v>
      </c>
      <c r="AP313" s="1040">
        <v>409717</v>
      </c>
    </row>
    <row r="314" spans="1:42" x14ac:dyDescent="0.3">
      <c r="A314" s="1040">
        <v>98</v>
      </c>
      <c r="B314" s="1040">
        <v>75531</v>
      </c>
      <c r="C314" s="1040" t="s">
        <v>558</v>
      </c>
      <c r="D314" s="1040" t="str">
        <f t="shared" si="15"/>
        <v>061901</v>
      </c>
      <c r="E314" s="1040" t="s">
        <v>559</v>
      </c>
      <c r="F314" s="1040" t="str">
        <f t="shared" si="18"/>
        <v>042</v>
      </c>
      <c r="G314" s="1040" t="s">
        <v>1291</v>
      </c>
      <c r="H314" s="1041" t="str">
        <f>"35AC"</f>
        <v>35AC</v>
      </c>
      <c r="I314" s="1040" t="s">
        <v>1204</v>
      </c>
      <c r="J314" s="1040">
        <v>409718</v>
      </c>
      <c r="K314" s="1045">
        <v>41397</v>
      </c>
      <c r="L314" s="1040" t="s">
        <v>561</v>
      </c>
      <c r="M314" s="1041">
        <v>2005</v>
      </c>
      <c r="N314" s="1041" t="s">
        <v>576</v>
      </c>
      <c r="O314" s="1041" t="s">
        <v>576</v>
      </c>
      <c r="P314" s="1041" t="s">
        <v>576</v>
      </c>
      <c r="Q314" s="1041" t="s">
        <v>576</v>
      </c>
      <c r="R314" s="1040">
        <v>10</v>
      </c>
      <c r="S314" s="1041">
        <v>1</v>
      </c>
      <c r="T314" s="1042">
        <v>240</v>
      </c>
      <c r="U314" s="1042">
        <v>10484</v>
      </c>
      <c r="V314" s="1042">
        <v>5110</v>
      </c>
      <c r="W314" s="1042"/>
      <c r="X314" s="1042">
        <v>44</v>
      </c>
      <c r="Y314" s="1042">
        <v>21</v>
      </c>
      <c r="Z314" s="1040" t="s">
        <v>611</v>
      </c>
      <c r="AA314" s="1040" t="s">
        <v>612</v>
      </c>
      <c r="AB314" s="1040" t="s">
        <v>606</v>
      </c>
      <c r="AC314" s="1040" t="s">
        <v>580</v>
      </c>
      <c r="AD314" s="1040" t="s">
        <v>581</v>
      </c>
      <c r="AE314" s="1041"/>
      <c r="AF314" s="1040" t="s">
        <v>582</v>
      </c>
      <c r="AG314" s="1040">
        <v>0</v>
      </c>
      <c r="AH314" s="1040" t="s">
        <v>1294</v>
      </c>
      <c r="AI314" s="1040" t="s">
        <v>594</v>
      </c>
      <c r="AJ314" s="1040" t="s">
        <v>571</v>
      </c>
      <c r="AK314" s="1041">
        <v>76210</v>
      </c>
      <c r="AL314" s="1040" t="s">
        <v>1305</v>
      </c>
      <c r="AM314" s="1040" t="s">
        <v>1306</v>
      </c>
      <c r="AN314" s="1040"/>
      <c r="AO314" s="1040">
        <v>10000</v>
      </c>
      <c r="AP314" s="1040">
        <v>409718</v>
      </c>
    </row>
    <row r="315" spans="1:42" x14ac:dyDescent="0.3">
      <c r="A315" s="1040">
        <v>98</v>
      </c>
      <c r="B315" s="1040">
        <v>75531</v>
      </c>
      <c r="C315" s="1040" t="s">
        <v>558</v>
      </c>
      <c r="D315" s="1040" t="str">
        <f t="shared" si="15"/>
        <v>061901</v>
      </c>
      <c r="E315" s="1040" t="s">
        <v>559</v>
      </c>
      <c r="F315" s="1040" t="str">
        <f t="shared" si="18"/>
        <v>042</v>
      </c>
      <c r="G315" s="1040" t="s">
        <v>1291</v>
      </c>
      <c r="H315" s="1041" t="str">
        <f>"35B"</f>
        <v>35B</v>
      </c>
      <c r="I315" s="1040" t="s">
        <v>1307</v>
      </c>
      <c r="J315" s="1040">
        <v>409550</v>
      </c>
      <c r="K315" s="1045">
        <v>41397</v>
      </c>
      <c r="L315" s="1040" t="s">
        <v>561</v>
      </c>
      <c r="M315" s="1041">
        <v>2006</v>
      </c>
      <c r="N315" s="1041" t="s">
        <v>576</v>
      </c>
      <c r="O315" s="1041" t="s">
        <v>562</v>
      </c>
      <c r="P315" s="1041" t="s">
        <v>562</v>
      </c>
      <c r="Q315" s="1041" t="s">
        <v>576</v>
      </c>
      <c r="R315" s="1040">
        <v>15</v>
      </c>
      <c r="S315" s="1041">
        <v>1</v>
      </c>
      <c r="T315" s="1042">
        <v>5000</v>
      </c>
      <c r="U315" s="1042">
        <v>226457</v>
      </c>
      <c r="V315" s="1042">
        <v>47013</v>
      </c>
      <c r="W315" s="1042"/>
      <c r="X315" s="1042">
        <v>45</v>
      </c>
      <c r="Y315" s="1042">
        <v>9</v>
      </c>
      <c r="Z315" s="1040" t="s">
        <v>611</v>
      </c>
      <c r="AA315" s="1040" t="s">
        <v>1308</v>
      </c>
      <c r="AB315" s="1040" t="s">
        <v>606</v>
      </c>
      <c r="AC315" s="1040" t="s">
        <v>606</v>
      </c>
      <c r="AD315" s="1040" t="s">
        <v>581</v>
      </c>
      <c r="AE315" s="1041"/>
      <c r="AF315" s="1040" t="s">
        <v>582</v>
      </c>
      <c r="AG315" s="1040">
        <v>0</v>
      </c>
      <c r="AH315" s="1040" t="s">
        <v>1294</v>
      </c>
      <c r="AI315" s="1040" t="s">
        <v>594</v>
      </c>
      <c r="AJ315" s="1040" t="s">
        <v>571</v>
      </c>
      <c r="AK315" s="1041">
        <v>76210</v>
      </c>
      <c r="AL315" s="1040" t="s">
        <v>1309</v>
      </c>
      <c r="AM315" s="1040" t="s">
        <v>1310</v>
      </c>
      <c r="AN315" s="1040" t="s">
        <v>602</v>
      </c>
      <c r="AO315" s="1040">
        <v>216000</v>
      </c>
      <c r="AP315" s="1040">
        <v>409550</v>
      </c>
    </row>
    <row r="316" spans="1:42" x14ac:dyDescent="0.3">
      <c r="A316" s="1040">
        <v>98</v>
      </c>
      <c r="B316" s="1040">
        <v>75531</v>
      </c>
      <c r="C316" s="1040" t="s">
        <v>558</v>
      </c>
      <c r="D316" s="1040" t="str">
        <f t="shared" si="15"/>
        <v>061901</v>
      </c>
      <c r="E316" s="1040" t="s">
        <v>559</v>
      </c>
      <c r="F316" s="1040" t="str">
        <f t="shared" si="18"/>
        <v>042</v>
      </c>
      <c r="G316" s="1040" t="s">
        <v>1291</v>
      </c>
      <c r="H316" s="1041" t="str">
        <f>"35C"</f>
        <v>35C</v>
      </c>
      <c r="I316" s="1040" t="s">
        <v>598</v>
      </c>
      <c r="J316" s="1040">
        <v>409551</v>
      </c>
      <c r="K316" s="1045">
        <v>41397</v>
      </c>
      <c r="L316" s="1040" t="s">
        <v>561</v>
      </c>
      <c r="M316" s="1041">
        <v>2006</v>
      </c>
      <c r="N316" s="1041" t="s">
        <v>562</v>
      </c>
      <c r="O316" s="1041" t="s">
        <v>562</v>
      </c>
      <c r="P316" s="1041" t="s">
        <v>562</v>
      </c>
      <c r="Q316" s="1041" t="s">
        <v>562</v>
      </c>
      <c r="R316" s="1040">
        <v>18</v>
      </c>
      <c r="S316" s="1041">
        <v>1</v>
      </c>
      <c r="T316" s="1042">
        <v>26612</v>
      </c>
      <c r="U316" s="1042">
        <v>3856061</v>
      </c>
      <c r="V316" s="1042">
        <v>336244</v>
      </c>
      <c r="W316" s="1042"/>
      <c r="X316" s="1042">
        <v>145</v>
      </c>
      <c r="Y316" s="1042">
        <v>13</v>
      </c>
      <c r="Z316" s="1040" t="s">
        <v>563</v>
      </c>
      <c r="AA316" s="1040" t="s">
        <v>693</v>
      </c>
      <c r="AB316" s="1040" t="s">
        <v>565</v>
      </c>
      <c r="AC316" s="1040" t="s">
        <v>566</v>
      </c>
      <c r="AD316" s="1040" t="s">
        <v>591</v>
      </c>
      <c r="AE316" s="1041"/>
      <c r="AF316" s="1040" t="s">
        <v>592</v>
      </c>
      <c r="AG316" s="1040">
        <v>0</v>
      </c>
      <c r="AH316" s="1040" t="s">
        <v>1294</v>
      </c>
      <c r="AI316" s="1040" t="s">
        <v>594</v>
      </c>
      <c r="AJ316" s="1040" t="s">
        <v>571</v>
      </c>
      <c r="AK316" s="1041">
        <v>76210</v>
      </c>
      <c r="AL316" s="1040" t="s">
        <v>1311</v>
      </c>
      <c r="AM316" s="1040" t="s">
        <v>1312</v>
      </c>
      <c r="AN316" s="1040" t="s">
        <v>602</v>
      </c>
      <c r="AO316" s="1040">
        <v>3678000</v>
      </c>
      <c r="AP316" s="1040">
        <v>409551</v>
      </c>
    </row>
    <row r="317" spans="1:42" x14ac:dyDescent="0.3">
      <c r="A317" s="1040">
        <v>98</v>
      </c>
      <c r="B317" s="1040">
        <v>75531</v>
      </c>
      <c r="C317" s="1040" t="s">
        <v>558</v>
      </c>
      <c r="D317" s="1040" t="str">
        <f t="shared" si="15"/>
        <v>061901</v>
      </c>
      <c r="E317" s="1040" t="s">
        <v>559</v>
      </c>
      <c r="F317" s="1040" t="str">
        <f t="shared" si="18"/>
        <v>042</v>
      </c>
      <c r="G317" s="1040" t="s">
        <v>1291</v>
      </c>
      <c r="H317" s="1041" t="str">
        <f>"35D"</f>
        <v>35D</v>
      </c>
      <c r="I317" s="1040" t="s">
        <v>1313</v>
      </c>
      <c r="J317" s="1040">
        <v>409719</v>
      </c>
      <c r="K317" s="1045">
        <v>41397</v>
      </c>
      <c r="L317" s="1040" t="s">
        <v>561</v>
      </c>
      <c r="M317" s="1041">
        <v>2000</v>
      </c>
      <c r="N317" s="1041" t="s">
        <v>576</v>
      </c>
      <c r="O317" s="1041" t="s">
        <v>576</v>
      </c>
      <c r="P317" s="1041" t="s">
        <v>576</v>
      </c>
      <c r="Q317" s="1041" t="s">
        <v>576</v>
      </c>
      <c r="R317" s="1040">
        <v>9</v>
      </c>
      <c r="S317" s="1041">
        <v>1</v>
      </c>
      <c r="T317" s="1042">
        <v>768</v>
      </c>
      <c r="U317" s="1042">
        <v>73388</v>
      </c>
      <c r="V317" s="1042">
        <v>11242</v>
      </c>
      <c r="W317" s="1042"/>
      <c r="X317" s="1042">
        <v>96</v>
      </c>
      <c r="Y317" s="1042">
        <v>15</v>
      </c>
      <c r="Z317" s="1040" t="s">
        <v>577</v>
      </c>
      <c r="AA317" s="1040" t="s">
        <v>578</v>
      </c>
      <c r="AB317" s="1040" t="s">
        <v>579</v>
      </c>
      <c r="AC317" s="1040" t="s">
        <v>580</v>
      </c>
      <c r="AD317" s="1040" t="s">
        <v>581</v>
      </c>
      <c r="AE317" s="1054"/>
      <c r="AF317" s="1040" t="s">
        <v>582</v>
      </c>
      <c r="AG317" s="1040">
        <v>0</v>
      </c>
      <c r="AH317" s="1040" t="s">
        <v>1294</v>
      </c>
      <c r="AI317" s="1040" t="s">
        <v>594</v>
      </c>
      <c r="AJ317" s="1040" t="s">
        <v>571</v>
      </c>
      <c r="AK317" s="1041">
        <v>76210</v>
      </c>
      <c r="AL317" s="1040" t="s">
        <v>1314</v>
      </c>
      <c r="AM317" s="1040" t="s">
        <v>1315</v>
      </c>
      <c r="AN317" s="1040" t="s">
        <v>585</v>
      </c>
      <c r="AO317" s="1040">
        <v>70000</v>
      </c>
      <c r="AP317" s="1040">
        <v>409719</v>
      </c>
    </row>
    <row r="318" spans="1:42" x14ac:dyDescent="0.3">
      <c r="A318" s="1040">
        <v>98</v>
      </c>
      <c r="B318" s="1040">
        <v>75531</v>
      </c>
      <c r="C318" s="1040" t="s">
        <v>558</v>
      </c>
      <c r="D318" s="1040" t="str">
        <f t="shared" si="15"/>
        <v>061901</v>
      </c>
      <c r="E318" s="1040" t="s">
        <v>559</v>
      </c>
      <c r="F318" s="1040" t="str">
        <f t="shared" si="18"/>
        <v>042</v>
      </c>
      <c r="G318" s="1040" t="s">
        <v>1291</v>
      </c>
      <c r="H318" s="1041" t="str">
        <f>"35E"</f>
        <v>35E</v>
      </c>
      <c r="I318" s="1040" t="s">
        <v>1316</v>
      </c>
      <c r="J318" s="1040">
        <v>409720</v>
      </c>
      <c r="K318" s="1045">
        <v>41397</v>
      </c>
      <c r="L318" s="1040" t="s">
        <v>561</v>
      </c>
      <c r="M318" s="1041">
        <v>2000</v>
      </c>
      <c r="N318" s="1041" t="s">
        <v>576</v>
      </c>
      <c r="O318" s="1041" t="s">
        <v>576</v>
      </c>
      <c r="P318" s="1041" t="s">
        <v>576</v>
      </c>
      <c r="Q318" s="1041" t="s">
        <v>576</v>
      </c>
      <c r="R318" s="1040">
        <v>9</v>
      </c>
      <c r="S318" s="1041">
        <v>1</v>
      </c>
      <c r="T318" s="1042">
        <v>768</v>
      </c>
      <c r="U318" s="1042">
        <v>73388</v>
      </c>
      <c r="V318" s="1042">
        <v>11242</v>
      </c>
      <c r="W318" s="1042"/>
      <c r="X318" s="1042">
        <v>96</v>
      </c>
      <c r="Y318" s="1042">
        <v>15</v>
      </c>
      <c r="Z318" s="1040" t="s">
        <v>577</v>
      </c>
      <c r="AA318" s="1040" t="s">
        <v>578</v>
      </c>
      <c r="AB318" s="1040" t="s">
        <v>579</v>
      </c>
      <c r="AC318" s="1040" t="s">
        <v>580</v>
      </c>
      <c r="AD318" s="1040" t="s">
        <v>581</v>
      </c>
      <c r="AE318" s="1054"/>
      <c r="AF318" s="1040" t="s">
        <v>582</v>
      </c>
      <c r="AG318" s="1040">
        <v>0</v>
      </c>
      <c r="AH318" s="1040" t="s">
        <v>1294</v>
      </c>
      <c r="AI318" s="1040" t="s">
        <v>594</v>
      </c>
      <c r="AJ318" s="1040" t="s">
        <v>571</v>
      </c>
      <c r="AK318" s="1041">
        <v>76210</v>
      </c>
      <c r="AL318" s="1040" t="s">
        <v>1317</v>
      </c>
      <c r="AM318" s="1040" t="s">
        <v>1318</v>
      </c>
      <c r="AN318" s="1040" t="s">
        <v>585</v>
      </c>
      <c r="AO318" s="1040">
        <v>70000</v>
      </c>
      <c r="AP318" s="1040">
        <v>409720</v>
      </c>
    </row>
    <row r="319" spans="1:42" x14ac:dyDescent="0.3">
      <c r="A319" s="1040">
        <v>98</v>
      </c>
      <c r="B319" s="1040">
        <v>75531</v>
      </c>
      <c r="C319" s="1040" t="s">
        <v>558</v>
      </c>
      <c r="D319" s="1040" t="str">
        <f t="shared" si="15"/>
        <v>061901</v>
      </c>
      <c r="E319" s="1040" t="s">
        <v>559</v>
      </c>
      <c r="F319" s="1040" t="str">
        <f t="shared" si="18"/>
        <v>042</v>
      </c>
      <c r="G319" s="1040" t="s">
        <v>1291</v>
      </c>
      <c r="H319" s="1041" t="str">
        <f>"35F"</f>
        <v>35F</v>
      </c>
      <c r="I319" s="1040" t="s">
        <v>1319</v>
      </c>
      <c r="J319" s="1040">
        <v>409721</v>
      </c>
      <c r="K319" s="1045">
        <v>41397</v>
      </c>
      <c r="L319" s="1040" t="s">
        <v>561</v>
      </c>
      <c r="M319" s="1041">
        <v>2000</v>
      </c>
      <c r="N319" s="1041" t="s">
        <v>576</v>
      </c>
      <c r="O319" s="1041" t="s">
        <v>576</v>
      </c>
      <c r="P319" s="1041" t="s">
        <v>576</v>
      </c>
      <c r="Q319" s="1041" t="s">
        <v>576</v>
      </c>
      <c r="R319" s="1040">
        <v>9</v>
      </c>
      <c r="S319" s="1041">
        <v>1</v>
      </c>
      <c r="T319" s="1042">
        <v>768</v>
      </c>
      <c r="U319" s="1042">
        <v>73388</v>
      </c>
      <c r="V319" s="1042">
        <v>11242</v>
      </c>
      <c r="W319" s="1042"/>
      <c r="X319" s="1042">
        <v>96</v>
      </c>
      <c r="Y319" s="1042">
        <v>15</v>
      </c>
      <c r="Z319" s="1040" t="s">
        <v>577</v>
      </c>
      <c r="AA319" s="1040" t="s">
        <v>578</v>
      </c>
      <c r="AB319" s="1040" t="s">
        <v>579</v>
      </c>
      <c r="AC319" s="1040" t="s">
        <v>580</v>
      </c>
      <c r="AD319" s="1040" t="s">
        <v>581</v>
      </c>
      <c r="AE319" s="1054"/>
      <c r="AF319" s="1040" t="s">
        <v>582</v>
      </c>
      <c r="AG319" s="1040">
        <v>0</v>
      </c>
      <c r="AH319" s="1040" t="s">
        <v>1294</v>
      </c>
      <c r="AI319" s="1040" t="s">
        <v>594</v>
      </c>
      <c r="AJ319" s="1040" t="s">
        <v>571</v>
      </c>
      <c r="AK319" s="1041">
        <v>76210</v>
      </c>
      <c r="AL319" s="1040" t="s">
        <v>1320</v>
      </c>
      <c r="AM319" s="1040" t="s">
        <v>1321</v>
      </c>
      <c r="AN319" s="1040" t="s">
        <v>585</v>
      </c>
      <c r="AO319" s="1040">
        <v>70000</v>
      </c>
      <c r="AP319" s="1040">
        <v>409721</v>
      </c>
    </row>
    <row r="320" spans="1:42" x14ac:dyDescent="0.3">
      <c r="A320" s="1040">
        <v>98</v>
      </c>
      <c r="B320" s="1040">
        <v>75531</v>
      </c>
      <c r="C320" s="1040" t="s">
        <v>558</v>
      </c>
      <c r="D320" s="1040" t="str">
        <f t="shared" si="15"/>
        <v>061901</v>
      </c>
      <c r="E320" s="1040" t="s">
        <v>559</v>
      </c>
      <c r="F320" s="1040" t="str">
        <f t="shared" si="18"/>
        <v>042</v>
      </c>
      <c r="G320" s="1040" t="s">
        <v>1291</v>
      </c>
      <c r="H320" s="1041" t="str">
        <f>"35G"</f>
        <v>35G</v>
      </c>
      <c r="I320" s="1040" t="s">
        <v>1322</v>
      </c>
      <c r="J320" s="1040">
        <v>409722</v>
      </c>
      <c r="K320" s="1045">
        <v>41397</v>
      </c>
      <c r="L320" s="1040" t="s">
        <v>561</v>
      </c>
      <c r="M320" s="1041">
        <v>2000</v>
      </c>
      <c r="N320" s="1041" t="s">
        <v>576</v>
      </c>
      <c r="O320" s="1041" t="s">
        <v>576</v>
      </c>
      <c r="P320" s="1041" t="s">
        <v>576</v>
      </c>
      <c r="Q320" s="1041" t="s">
        <v>576</v>
      </c>
      <c r="R320" s="1040">
        <v>9</v>
      </c>
      <c r="S320" s="1041">
        <v>1</v>
      </c>
      <c r="T320" s="1042">
        <v>768</v>
      </c>
      <c r="U320" s="1042">
        <v>73388</v>
      </c>
      <c r="V320" s="1042">
        <v>11242</v>
      </c>
      <c r="W320" s="1042"/>
      <c r="X320" s="1042">
        <v>96</v>
      </c>
      <c r="Y320" s="1042">
        <v>15</v>
      </c>
      <c r="Z320" s="1040" t="s">
        <v>577</v>
      </c>
      <c r="AA320" s="1040" t="s">
        <v>578</v>
      </c>
      <c r="AB320" s="1040" t="s">
        <v>579</v>
      </c>
      <c r="AC320" s="1040" t="s">
        <v>580</v>
      </c>
      <c r="AD320" s="1040" t="s">
        <v>581</v>
      </c>
      <c r="AE320" s="1054"/>
      <c r="AF320" s="1040" t="s">
        <v>582</v>
      </c>
      <c r="AG320" s="1040">
        <v>0</v>
      </c>
      <c r="AH320" s="1040" t="s">
        <v>1294</v>
      </c>
      <c r="AI320" s="1040" t="s">
        <v>594</v>
      </c>
      <c r="AJ320" s="1040" t="s">
        <v>571</v>
      </c>
      <c r="AK320" s="1041">
        <v>76210</v>
      </c>
      <c r="AL320" s="1040" t="s">
        <v>1323</v>
      </c>
      <c r="AM320" s="1040" t="s">
        <v>1296</v>
      </c>
      <c r="AN320" s="1040" t="s">
        <v>585</v>
      </c>
      <c r="AO320" s="1040">
        <v>70000</v>
      </c>
      <c r="AP320" s="1040">
        <v>409722</v>
      </c>
    </row>
    <row r="321" spans="1:42" x14ac:dyDescent="0.3">
      <c r="A321" s="1040">
        <v>98</v>
      </c>
      <c r="B321" s="1040">
        <v>75531</v>
      </c>
      <c r="C321" s="1040" t="s">
        <v>558</v>
      </c>
      <c r="D321" s="1040" t="str">
        <f t="shared" si="15"/>
        <v>061901</v>
      </c>
      <c r="E321" s="1040" t="s">
        <v>559</v>
      </c>
      <c r="F321" s="1040" t="str">
        <f t="shared" si="18"/>
        <v>042</v>
      </c>
      <c r="G321" s="1040" t="s">
        <v>1291</v>
      </c>
      <c r="H321" s="1041" t="str">
        <f>"35H"</f>
        <v>35H</v>
      </c>
      <c r="I321" s="1040" t="s">
        <v>1324</v>
      </c>
      <c r="J321" s="1040">
        <v>409723</v>
      </c>
      <c r="K321" s="1045">
        <v>41397</v>
      </c>
      <c r="L321" s="1040" t="s">
        <v>561</v>
      </c>
      <c r="M321" s="1041">
        <v>2000</v>
      </c>
      <c r="N321" s="1041" t="s">
        <v>576</v>
      </c>
      <c r="O321" s="1041" t="s">
        <v>576</v>
      </c>
      <c r="P321" s="1041" t="s">
        <v>576</v>
      </c>
      <c r="Q321" s="1041" t="s">
        <v>576</v>
      </c>
      <c r="R321" s="1040">
        <v>9</v>
      </c>
      <c r="S321" s="1041">
        <v>1</v>
      </c>
      <c r="T321" s="1042">
        <v>768</v>
      </c>
      <c r="U321" s="1042">
        <v>73388</v>
      </c>
      <c r="V321" s="1042">
        <v>11242</v>
      </c>
      <c r="W321" s="1042"/>
      <c r="X321" s="1042">
        <v>96</v>
      </c>
      <c r="Y321" s="1042">
        <v>15</v>
      </c>
      <c r="Z321" s="1040" t="s">
        <v>577</v>
      </c>
      <c r="AA321" s="1040" t="s">
        <v>578</v>
      </c>
      <c r="AB321" s="1040" t="s">
        <v>579</v>
      </c>
      <c r="AC321" s="1040" t="s">
        <v>580</v>
      </c>
      <c r="AD321" s="1040" t="s">
        <v>581</v>
      </c>
      <c r="AE321" s="1054"/>
      <c r="AF321" s="1040" t="s">
        <v>582</v>
      </c>
      <c r="AG321" s="1040">
        <v>0</v>
      </c>
      <c r="AH321" s="1040" t="s">
        <v>1294</v>
      </c>
      <c r="AI321" s="1040" t="s">
        <v>594</v>
      </c>
      <c r="AJ321" s="1040" t="s">
        <v>571</v>
      </c>
      <c r="AK321" s="1041">
        <v>76210</v>
      </c>
      <c r="AL321" s="1040" t="s">
        <v>1325</v>
      </c>
      <c r="AM321" s="1040" t="s">
        <v>1326</v>
      </c>
      <c r="AN321" s="1040" t="s">
        <v>585</v>
      </c>
      <c r="AO321" s="1040">
        <v>70000</v>
      </c>
      <c r="AP321" s="1040">
        <v>409723</v>
      </c>
    </row>
    <row r="322" spans="1:42" x14ac:dyDescent="0.3">
      <c r="A322" s="1040">
        <v>98</v>
      </c>
      <c r="B322" s="1040">
        <v>75531</v>
      </c>
      <c r="C322" s="1040" t="s">
        <v>558</v>
      </c>
      <c r="D322" s="1040" t="str">
        <f t="shared" si="15"/>
        <v>061901</v>
      </c>
      <c r="E322" s="1040" t="s">
        <v>559</v>
      </c>
      <c r="F322" s="1040" t="str">
        <f t="shared" si="18"/>
        <v>042</v>
      </c>
      <c r="G322" s="1040" t="s">
        <v>1291</v>
      </c>
      <c r="H322" s="1041" t="str">
        <f>"35I"</f>
        <v>35I</v>
      </c>
      <c r="I322" s="1040" t="s">
        <v>1327</v>
      </c>
      <c r="J322" s="1040">
        <v>409724</v>
      </c>
      <c r="K322" s="1045">
        <v>41397</v>
      </c>
      <c r="L322" s="1040" t="s">
        <v>561</v>
      </c>
      <c r="M322" s="1041">
        <v>2000</v>
      </c>
      <c r="N322" s="1041" t="s">
        <v>576</v>
      </c>
      <c r="O322" s="1041" t="s">
        <v>576</v>
      </c>
      <c r="P322" s="1041" t="s">
        <v>576</v>
      </c>
      <c r="Q322" s="1041" t="s">
        <v>576</v>
      </c>
      <c r="R322" s="1040">
        <v>9</v>
      </c>
      <c r="S322" s="1041">
        <v>1</v>
      </c>
      <c r="T322" s="1042">
        <v>768</v>
      </c>
      <c r="U322" s="1042">
        <v>73388</v>
      </c>
      <c r="V322" s="1042">
        <v>11242</v>
      </c>
      <c r="W322" s="1042"/>
      <c r="X322" s="1042">
        <v>96</v>
      </c>
      <c r="Y322" s="1042">
        <v>15</v>
      </c>
      <c r="Z322" s="1040" t="s">
        <v>577</v>
      </c>
      <c r="AA322" s="1040" t="s">
        <v>578</v>
      </c>
      <c r="AB322" s="1040" t="s">
        <v>579</v>
      </c>
      <c r="AC322" s="1040" t="s">
        <v>580</v>
      </c>
      <c r="AD322" s="1040" t="s">
        <v>581</v>
      </c>
      <c r="AE322" s="1054"/>
      <c r="AF322" s="1040" t="s">
        <v>582</v>
      </c>
      <c r="AG322" s="1040">
        <v>0</v>
      </c>
      <c r="AH322" s="1040" t="s">
        <v>1294</v>
      </c>
      <c r="AI322" s="1040" t="s">
        <v>594</v>
      </c>
      <c r="AJ322" s="1040" t="s">
        <v>571</v>
      </c>
      <c r="AK322" s="1041">
        <v>76210</v>
      </c>
      <c r="AL322" s="1040" t="s">
        <v>1328</v>
      </c>
      <c r="AM322" s="1040" t="s">
        <v>1329</v>
      </c>
      <c r="AN322" s="1040" t="s">
        <v>585</v>
      </c>
      <c r="AO322" s="1040">
        <v>70000</v>
      </c>
      <c r="AP322" s="1040">
        <v>409724</v>
      </c>
    </row>
    <row r="323" spans="1:42" x14ac:dyDescent="0.3">
      <c r="A323" s="1040">
        <v>98</v>
      </c>
      <c r="B323" s="1040">
        <v>75531</v>
      </c>
      <c r="C323" s="1040" t="s">
        <v>558</v>
      </c>
      <c r="D323" s="1040" t="str">
        <f t="shared" si="15"/>
        <v>061901</v>
      </c>
      <c r="E323" s="1040" t="s">
        <v>559</v>
      </c>
      <c r="F323" s="1040" t="str">
        <f t="shared" si="18"/>
        <v>042</v>
      </c>
      <c r="G323" s="1040" t="s">
        <v>1291</v>
      </c>
      <c r="H323" s="1041" t="str">
        <f>"35J"</f>
        <v>35J</v>
      </c>
      <c r="I323" s="1040" t="s">
        <v>1330</v>
      </c>
      <c r="J323" s="1040">
        <v>409725</v>
      </c>
      <c r="K323" s="1045">
        <v>41397</v>
      </c>
      <c r="L323" s="1040" t="s">
        <v>561</v>
      </c>
      <c r="M323" s="1041">
        <v>2000</v>
      </c>
      <c r="N323" s="1041" t="s">
        <v>576</v>
      </c>
      <c r="O323" s="1041" t="s">
        <v>576</v>
      </c>
      <c r="P323" s="1041" t="s">
        <v>576</v>
      </c>
      <c r="Q323" s="1041" t="s">
        <v>576</v>
      </c>
      <c r="R323" s="1040">
        <v>9</v>
      </c>
      <c r="S323" s="1041">
        <v>1</v>
      </c>
      <c r="T323" s="1042">
        <v>768</v>
      </c>
      <c r="U323" s="1042">
        <v>73388</v>
      </c>
      <c r="V323" s="1042">
        <v>11242</v>
      </c>
      <c r="W323" s="1042"/>
      <c r="X323" s="1042">
        <v>96</v>
      </c>
      <c r="Y323" s="1042">
        <v>15</v>
      </c>
      <c r="Z323" s="1040" t="s">
        <v>577</v>
      </c>
      <c r="AA323" s="1040" t="s">
        <v>578</v>
      </c>
      <c r="AB323" s="1040" t="s">
        <v>579</v>
      </c>
      <c r="AC323" s="1040" t="s">
        <v>580</v>
      </c>
      <c r="AD323" s="1040" t="s">
        <v>581</v>
      </c>
      <c r="AE323" s="1054"/>
      <c r="AF323" s="1040" t="s">
        <v>582</v>
      </c>
      <c r="AG323" s="1040">
        <v>0</v>
      </c>
      <c r="AH323" s="1040" t="s">
        <v>1294</v>
      </c>
      <c r="AI323" s="1040" t="s">
        <v>594</v>
      </c>
      <c r="AJ323" s="1040" t="s">
        <v>571</v>
      </c>
      <c r="AK323" s="1041">
        <v>76210</v>
      </c>
      <c r="AL323" s="1040" t="s">
        <v>1331</v>
      </c>
      <c r="AM323" s="1040" t="s">
        <v>1332</v>
      </c>
      <c r="AN323" s="1040" t="s">
        <v>585</v>
      </c>
      <c r="AO323" s="1040">
        <v>70000</v>
      </c>
      <c r="AP323" s="1040">
        <v>409725</v>
      </c>
    </row>
    <row r="324" spans="1:42" x14ac:dyDescent="0.3">
      <c r="A324" s="1040">
        <v>98</v>
      </c>
      <c r="B324" s="1040">
        <v>75531</v>
      </c>
      <c r="C324" s="1040" t="s">
        <v>558</v>
      </c>
      <c r="D324" s="1040" t="str">
        <f t="shared" si="15"/>
        <v>061901</v>
      </c>
      <c r="E324" s="1040" t="s">
        <v>559</v>
      </c>
      <c r="F324" s="1040" t="str">
        <f t="shared" si="18"/>
        <v>042</v>
      </c>
      <c r="G324" s="1040" t="s">
        <v>1291</v>
      </c>
      <c r="H324" s="1041" t="str">
        <f>"35K"</f>
        <v>35K</v>
      </c>
      <c r="I324" s="1040" t="s">
        <v>1333</v>
      </c>
      <c r="J324" s="1040">
        <v>409726</v>
      </c>
      <c r="K324" s="1045">
        <v>41397</v>
      </c>
      <c r="L324" s="1040" t="s">
        <v>561</v>
      </c>
      <c r="M324" s="1041">
        <v>2000</v>
      </c>
      <c r="N324" s="1041" t="s">
        <v>576</v>
      </c>
      <c r="O324" s="1041" t="s">
        <v>576</v>
      </c>
      <c r="P324" s="1041" t="s">
        <v>576</v>
      </c>
      <c r="Q324" s="1041" t="s">
        <v>576</v>
      </c>
      <c r="R324" s="1040">
        <v>9</v>
      </c>
      <c r="S324" s="1041">
        <v>1</v>
      </c>
      <c r="T324" s="1042">
        <v>768</v>
      </c>
      <c r="U324" s="1042">
        <v>73388</v>
      </c>
      <c r="V324" s="1042">
        <v>11242</v>
      </c>
      <c r="W324" s="1042"/>
      <c r="X324" s="1042">
        <v>96</v>
      </c>
      <c r="Y324" s="1042">
        <v>15</v>
      </c>
      <c r="Z324" s="1040" t="s">
        <v>577</v>
      </c>
      <c r="AA324" s="1040" t="s">
        <v>578</v>
      </c>
      <c r="AB324" s="1040" t="s">
        <v>579</v>
      </c>
      <c r="AC324" s="1040" t="s">
        <v>580</v>
      </c>
      <c r="AD324" s="1040" t="s">
        <v>581</v>
      </c>
      <c r="AE324" s="1054"/>
      <c r="AF324" s="1040" t="s">
        <v>582</v>
      </c>
      <c r="AG324" s="1040">
        <v>0</v>
      </c>
      <c r="AH324" s="1040" t="s">
        <v>1294</v>
      </c>
      <c r="AI324" s="1040" t="s">
        <v>594</v>
      </c>
      <c r="AJ324" s="1040" t="s">
        <v>571</v>
      </c>
      <c r="AK324" s="1041">
        <v>76210</v>
      </c>
      <c r="AL324" s="1040" t="s">
        <v>1334</v>
      </c>
      <c r="AM324" s="1040" t="s">
        <v>1335</v>
      </c>
      <c r="AN324" s="1040" t="s">
        <v>585</v>
      </c>
      <c r="AO324" s="1040">
        <v>70000</v>
      </c>
      <c r="AP324" s="1040">
        <v>409726</v>
      </c>
    </row>
    <row r="325" spans="1:42" x14ac:dyDescent="0.3">
      <c r="A325" s="1040">
        <v>98</v>
      </c>
      <c r="B325" s="1040">
        <v>75531</v>
      </c>
      <c r="C325" s="1040" t="s">
        <v>558</v>
      </c>
      <c r="D325" s="1040" t="str">
        <f t="shared" si="15"/>
        <v>061901</v>
      </c>
      <c r="E325" s="1040" t="s">
        <v>559</v>
      </c>
      <c r="F325" s="1040" t="str">
        <f t="shared" si="18"/>
        <v>042</v>
      </c>
      <c r="G325" s="1040" t="s">
        <v>1291</v>
      </c>
      <c r="H325" s="1041" t="str">
        <f>"35L"</f>
        <v>35L</v>
      </c>
      <c r="I325" s="1040" t="s">
        <v>1336</v>
      </c>
      <c r="J325" s="1040">
        <v>409727</v>
      </c>
      <c r="K325" s="1045">
        <v>41397</v>
      </c>
      <c r="L325" s="1040" t="s">
        <v>561</v>
      </c>
      <c r="M325" s="1041">
        <v>2000</v>
      </c>
      <c r="N325" s="1041" t="s">
        <v>576</v>
      </c>
      <c r="O325" s="1041" t="s">
        <v>576</v>
      </c>
      <c r="P325" s="1041" t="s">
        <v>576</v>
      </c>
      <c r="Q325" s="1041" t="s">
        <v>576</v>
      </c>
      <c r="R325" s="1040">
        <v>9</v>
      </c>
      <c r="S325" s="1041">
        <v>1</v>
      </c>
      <c r="T325" s="1042">
        <v>768</v>
      </c>
      <c r="U325" s="1042">
        <v>73388</v>
      </c>
      <c r="V325" s="1042">
        <v>11242</v>
      </c>
      <c r="W325" s="1042"/>
      <c r="X325" s="1042">
        <v>96</v>
      </c>
      <c r="Y325" s="1042">
        <v>15</v>
      </c>
      <c r="Z325" s="1040" t="s">
        <v>577</v>
      </c>
      <c r="AA325" s="1040" t="s">
        <v>578</v>
      </c>
      <c r="AB325" s="1040" t="s">
        <v>579</v>
      </c>
      <c r="AC325" s="1040" t="s">
        <v>580</v>
      </c>
      <c r="AD325" s="1040" t="s">
        <v>581</v>
      </c>
      <c r="AE325" s="1054"/>
      <c r="AF325" s="1040" t="s">
        <v>582</v>
      </c>
      <c r="AG325" s="1040">
        <v>0</v>
      </c>
      <c r="AH325" s="1040" t="s">
        <v>1294</v>
      </c>
      <c r="AI325" s="1040" t="s">
        <v>594</v>
      </c>
      <c r="AJ325" s="1040" t="s">
        <v>571</v>
      </c>
      <c r="AK325" s="1041">
        <v>76210</v>
      </c>
      <c r="AL325" s="1040" t="s">
        <v>1337</v>
      </c>
      <c r="AM325" s="1040" t="s">
        <v>1338</v>
      </c>
      <c r="AN325" s="1040" t="s">
        <v>585</v>
      </c>
      <c r="AO325" s="1040">
        <v>70000</v>
      </c>
      <c r="AP325" s="1040">
        <v>409727</v>
      </c>
    </row>
    <row r="326" spans="1:42" x14ac:dyDescent="0.3">
      <c r="A326" s="1040">
        <v>98</v>
      </c>
      <c r="B326" s="1040">
        <v>75531</v>
      </c>
      <c r="C326" s="1040" t="s">
        <v>558</v>
      </c>
      <c r="D326" s="1040" t="str">
        <f t="shared" si="15"/>
        <v>061901</v>
      </c>
      <c r="E326" s="1040" t="s">
        <v>559</v>
      </c>
      <c r="F326" s="1040" t="str">
        <f t="shared" si="18"/>
        <v>042</v>
      </c>
      <c r="G326" s="1040" t="s">
        <v>1291</v>
      </c>
      <c r="H326" s="1041" t="str">
        <f>"35M"</f>
        <v>35M</v>
      </c>
      <c r="I326" s="1040" t="s">
        <v>1339</v>
      </c>
      <c r="J326" s="1040">
        <v>409728</v>
      </c>
      <c r="K326" s="1045">
        <v>41397</v>
      </c>
      <c r="L326" s="1040" t="s">
        <v>561</v>
      </c>
      <c r="M326" s="1041">
        <v>2000</v>
      </c>
      <c r="N326" s="1041" t="s">
        <v>576</v>
      </c>
      <c r="O326" s="1041" t="s">
        <v>576</v>
      </c>
      <c r="P326" s="1041" t="s">
        <v>576</v>
      </c>
      <c r="Q326" s="1041" t="s">
        <v>576</v>
      </c>
      <c r="R326" s="1040">
        <v>9</v>
      </c>
      <c r="S326" s="1041">
        <v>1</v>
      </c>
      <c r="T326" s="1042">
        <v>768</v>
      </c>
      <c r="U326" s="1042">
        <v>73388</v>
      </c>
      <c r="V326" s="1042">
        <v>11242</v>
      </c>
      <c r="W326" s="1042"/>
      <c r="X326" s="1042">
        <v>96</v>
      </c>
      <c r="Y326" s="1042">
        <v>15</v>
      </c>
      <c r="Z326" s="1040" t="s">
        <v>577</v>
      </c>
      <c r="AA326" s="1040" t="s">
        <v>578</v>
      </c>
      <c r="AB326" s="1040" t="s">
        <v>579</v>
      </c>
      <c r="AC326" s="1040" t="s">
        <v>580</v>
      </c>
      <c r="AD326" s="1040" t="s">
        <v>581</v>
      </c>
      <c r="AE326" s="1054"/>
      <c r="AF326" s="1040" t="s">
        <v>582</v>
      </c>
      <c r="AG326" s="1040">
        <v>0</v>
      </c>
      <c r="AH326" s="1040" t="s">
        <v>1294</v>
      </c>
      <c r="AI326" s="1040" t="s">
        <v>594</v>
      </c>
      <c r="AJ326" s="1040" t="s">
        <v>571</v>
      </c>
      <c r="AK326" s="1041">
        <v>76210</v>
      </c>
      <c r="AL326" s="1040" t="s">
        <v>1340</v>
      </c>
      <c r="AM326" s="1040" t="s">
        <v>1341</v>
      </c>
      <c r="AN326" s="1040" t="s">
        <v>585</v>
      </c>
      <c r="AO326" s="1040">
        <v>70000</v>
      </c>
      <c r="AP326" s="1040">
        <v>409728</v>
      </c>
    </row>
    <row r="327" spans="1:42" x14ac:dyDescent="0.3">
      <c r="A327" s="1040">
        <v>98</v>
      </c>
      <c r="B327" s="1040">
        <v>75531</v>
      </c>
      <c r="C327" s="1040" t="s">
        <v>558</v>
      </c>
      <c r="D327" s="1040" t="str">
        <f t="shared" si="15"/>
        <v>061901</v>
      </c>
      <c r="E327" s="1040" t="s">
        <v>559</v>
      </c>
      <c r="F327" s="1040" t="str">
        <f t="shared" si="18"/>
        <v>042</v>
      </c>
      <c r="G327" s="1040" t="s">
        <v>1291</v>
      </c>
      <c r="H327" s="1041" t="str">
        <f>"35N"</f>
        <v>35N</v>
      </c>
      <c r="I327" s="1040" t="s">
        <v>1342</v>
      </c>
      <c r="J327" s="1040">
        <v>409729</v>
      </c>
      <c r="K327" s="1045">
        <v>41397</v>
      </c>
      <c r="L327" s="1040" t="s">
        <v>561</v>
      </c>
      <c r="M327" s="1041">
        <v>2009</v>
      </c>
      <c r="N327" s="1041" t="s">
        <v>576</v>
      </c>
      <c r="O327" s="1041" t="s">
        <v>576</v>
      </c>
      <c r="P327" s="1041" t="s">
        <v>576</v>
      </c>
      <c r="Q327" s="1041" t="s">
        <v>576</v>
      </c>
      <c r="R327" s="1040">
        <v>10</v>
      </c>
      <c r="S327" s="1041">
        <v>1</v>
      </c>
      <c r="T327" s="1042">
        <v>576</v>
      </c>
      <c r="U327" s="1042">
        <v>25162</v>
      </c>
      <c r="V327" s="1042">
        <v>15330</v>
      </c>
      <c r="W327" s="1042"/>
      <c r="X327" s="1042">
        <v>44</v>
      </c>
      <c r="Y327" s="1042">
        <v>27</v>
      </c>
      <c r="Z327" s="1040" t="s">
        <v>611</v>
      </c>
      <c r="AA327" s="1040" t="s">
        <v>612</v>
      </c>
      <c r="AB327" s="1040" t="s">
        <v>606</v>
      </c>
      <c r="AC327" s="1040" t="s">
        <v>606</v>
      </c>
      <c r="AD327" s="1040" t="s">
        <v>581</v>
      </c>
      <c r="AE327" s="1054"/>
      <c r="AF327" s="1040" t="s">
        <v>582</v>
      </c>
      <c r="AG327" s="1040">
        <v>0</v>
      </c>
      <c r="AH327" s="1040" t="s">
        <v>1294</v>
      </c>
      <c r="AI327" s="1040" t="s">
        <v>594</v>
      </c>
      <c r="AJ327" s="1040" t="s">
        <v>571</v>
      </c>
      <c r="AK327" s="1041">
        <v>76210</v>
      </c>
      <c r="AL327" s="1040" t="s">
        <v>1343</v>
      </c>
      <c r="AM327" s="1040" t="s">
        <v>1344</v>
      </c>
      <c r="AN327" s="1040" t="s">
        <v>664</v>
      </c>
      <c r="AO327" s="1040">
        <v>24000</v>
      </c>
      <c r="AP327" s="1040">
        <v>409729</v>
      </c>
    </row>
    <row r="328" spans="1:42" x14ac:dyDescent="0.3">
      <c r="A328" s="1040">
        <v>98</v>
      </c>
      <c r="B328" s="1040">
        <v>75531</v>
      </c>
      <c r="C328" s="1040" t="s">
        <v>558</v>
      </c>
      <c r="D328" s="1040" t="str">
        <f t="shared" si="15"/>
        <v>061901</v>
      </c>
      <c r="E328" s="1040" t="s">
        <v>559</v>
      </c>
      <c r="F328" s="1040" t="str">
        <f t="shared" si="18"/>
        <v>042</v>
      </c>
      <c r="G328" s="1040" t="s">
        <v>1291</v>
      </c>
      <c r="H328" s="1041" t="str">
        <f>"35O"</f>
        <v>35O</v>
      </c>
      <c r="I328" s="1040" t="s">
        <v>626</v>
      </c>
      <c r="J328" s="1040">
        <v>409730</v>
      </c>
      <c r="K328" s="1045">
        <v>41397</v>
      </c>
      <c r="L328" s="1040" t="s">
        <v>561</v>
      </c>
      <c r="M328" s="1041">
        <v>2005</v>
      </c>
      <c r="N328" s="1041" t="s">
        <v>576</v>
      </c>
      <c r="O328" s="1041" t="s">
        <v>576</v>
      </c>
      <c r="P328" s="1041" t="s">
        <v>576</v>
      </c>
      <c r="Q328" s="1041" t="s">
        <v>576</v>
      </c>
      <c r="R328" s="1040">
        <v>8</v>
      </c>
      <c r="S328" s="1041">
        <v>1</v>
      </c>
      <c r="T328" s="1042">
        <v>144</v>
      </c>
      <c r="U328" s="1042">
        <v>49275</v>
      </c>
      <c r="V328" s="1042">
        <v>1013</v>
      </c>
      <c r="W328" s="1042"/>
      <c r="X328" s="1042">
        <v>342</v>
      </c>
      <c r="Y328" s="1042">
        <v>7</v>
      </c>
      <c r="Z328" s="1040" t="s">
        <v>611</v>
      </c>
      <c r="AA328" s="1040" t="s">
        <v>612</v>
      </c>
      <c r="AB328" s="1040" t="s">
        <v>606</v>
      </c>
      <c r="AC328" s="1040" t="s">
        <v>1345</v>
      </c>
      <c r="AD328" s="1040" t="s">
        <v>581</v>
      </c>
      <c r="AE328" s="1054"/>
      <c r="AF328" s="1040" t="s">
        <v>592</v>
      </c>
      <c r="AG328" s="1040">
        <v>0</v>
      </c>
      <c r="AH328" s="1040" t="s">
        <v>1294</v>
      </c>
      <c r="AI328" s="1040" t="s">
        <v>594</v>
      </c>
      <c r="AJ328" s="1040" t="s">
        <v>571</v>
      </c>
      <c r="AK328" s="1041">
        <v>76210</v>
      </c>
      <c r="AL328" s="1040" t="s">
        <v>1346</v>
      </c>
      <c r="AM328" s="1040" t="s">
        <v>1347</v>
      </c>
      <c r="AN328" s="1040" t="s">
        <v>1348</v>
      </c>
      <c r="AO328" s="1040">
        <v>47000</v>
      </c>
      <c r="AP328" s="1040">
        <v>409730</v>
      </c>
    </row>
    <row r="329" spans="1:42" x14ac:dyDescent="0.3">
      <c r="A329" s="1040">
        <v>98</v>
      </c>
      <c r="B329" s="1040">
        <v>75531</v>
      </c>
      <c r="C329" s="1040" t="s">
        <v>558</v>
      </c>
      <c r="D329" s="1040" t="str">
        <f t="shared" si="15"/>
        <v>061901</v>
      </c>
      <c r="E329" s="1040" t="s">
        <v>559</v>
      </c>
      <c r="F329" s="1040" t="str">
        <f t="shared" si="18"/>
        <v>042</v>
      </c>
      <c r="G329" s="1040" t="s">
        <v>1291</v>
      </c>
      <c r="H329" s="1041" t="str">
        <f>"35P"</f>
        <v>35P</v>
      </c>
      <c r="I329" s="1040" t="s">
        <v>619</v>
      </c>
      <c r="J329" s="1040">
        <v>409731</v>
      </c>
      <c r="K329" s="1045">
        <v>41397</v>
      </c>
      <c r="L329" s="1040" t="s">
        <v>561</v>
      </c>
      <c r="M329" s="1041">
        <v>2005</v>
      </c>
      <c r="N329" s="1041" t="s">
        <v>576</v>
      </c>
      <c r="O329" s="1041" t="s">
        <v>576</v>
      </c>
      <c r="P329" s="1041" t="s">
        <v>576</v>
      </c>
      <c r="Q329" s="1041" t="s">
        <v>576</v>
      </c>
      <c r="R329" s="1040">
        <v>8</v>
      </c>
      <c r="S329" s="1041">
        <v>1</v>
      </c>
      <c r="T329" s="1042">
        <v>400</v>
      </c>
      <c r="U329" s="1042">
        <v>20969</v>
      </c>
      <c r="V329" s="1042">
        <v>0</v>
      </c>
      <c r="W329" s="1042"/>
      <c r="X329" s="1042">
        <v>52</v>
      </c>
      <c r="Y329" s="1042">
        <v>0</v>
      </c>
      <c r="Z329" s="1040" t="s">
        <v>563</v>
      </c>
      <c r="AA329" s="1040" t="s">
        <v>1299</v>
      </c>
      <c r="AB329" s="1040" t="s">
        <v>606</v>
      </c>
      <c r="AC329" s="1040" t="s">
        <v>606</v>
      </c>
      <c r="AD329" s="1040" t="s">
        <v>581</v>
      </c>
      <c r="AE329" s="1054"/>
      <c r="AF329" s="1040" t="s">
        <v>582</v>
      </c>
      <c r="AG329" s="1040">
        <v>0</v>
      </c>
      <c r="AH329" s="1040" t="s">
        <v>1294</v>
      </c>
      <c r="AI329" s="1040" t="s">
        <v>594</v>
      </c>
      <c r="AJ329" s="1040" t="s">
        <v>571</v>
      </c>
      <c r="AK329" s="1041">
        <v>76210</v>
      </c>
      <c r="AL329" s="1040" t="s">
        <v>1349</v>
      </c>
      <c r="AM329" s="1040" t="s">
        <v>1347</v>
      </c>
      <c r="AN329" s="1040"/>
      <c r="AO329" s="1040">
        <v>20000</v>
      </c>
      <c r="AP329" s="1040">
        <v>409731</v>
      </c>
    </row>
    <row r="330" spans="1:42" x14ac:dyDescent="0.3">
      <c r="A330" s="1040">
        <v>98</v>
      </c>
      <c r="B330" s="1040">
        <v>75531</v>
      </c>
      <c r="C330" s="1040" t="s">
        <v>558</v>
      </c>
      <c r="D330" s="1040" t="str">
        <f t="shared" si="15"/>
        <v>061901</v>
      </c>
      <c r="E330" s="1040" t="s">
        <v>559</v>
      </c>
      <c r="F330" s="1040" t="str">
        <f t="shared" si="18"/>
        <v>042</v>
      </c>
      <c r="G330" s="1040" t="s">
        <v>1291</v>
      </c>
      <c r="H330" s="1041" t="str">
        <f>"35Q"</f>
        <v>35Q</v>
      </c>
      <c r="I330" s="1040" t="s">
        <v>623</v>
      </c>
      <c r="J330" s="1040">
        <v>409732</v>
      </c>
      <c r="K330" s="1045">
        <v>41397</v>
      </c>
      <c r="L330" s="1040" t="s">
        <v>561</v>
      </c>
      <c r="M330" s="1041">
        <v>2005</v>
      </c>
      <c r="N330" s="1041" t="s">
        <v>576</v>
      </c>
      <c r="O330" s="1041" t="s">
        <v>576</v>
      </c>
      <c r="P330" s="1041" t="s">
        <v>576</v>
      </c>
      <c r="Q330" s="1041" t="s">
        <v>576</v>
      </c>
      <c r="R330" s="1040">
        <v>8</v>
      </c>
      <c r="S330" s="1041">
        <v>1</v>
      </c>
      <c r="T330" s="1042">
        <v>400</v>
      </c>
      <c r="U330" s="1042">
        <v>20969</v>
      </c>
      <c r="V330" s="1042">
        <v>0</v>
      </c>
      <c r="W330" s="1042"/>
      <c r="X330" s="1042">
        <v>52</v>
      </c>
      <c r="Y330" s="1042">
        <v>0</v>
      </c>
      <c r="Z330" s="1040" t="s">
        <v>563</v>
      </c>
      <c r="AA330" s="1040" t="s">
        <v>1299</v>
      </c>
      <c r="AB330" s="1040" t="s">
        <v>606</v>
      </c>
      <c r="AC330" s="1040" t="s">
        <v>606</v>
      </c>
      <c r="AD330" s="1040" t="s">
        <v>581</v>
      </c>
      <c r="AE330" s="1054"/>
      <c r="AF330" s="1040" t="s">
        <v>582</v>
      </c>
      <c r="AG330" s="1040">
        <v>0</v>
      </c>
      <c r="AH330" s="1040" t="s">
        <v>1294</v>
      </c>
      <c r="AI330" s="1040" t="s">
        <v>594</v>
      </c>
      <c r="AJ330" s="1040" t="s">
        <v>571</v>
      </c>
      <c r="AK330" s="1041">
        <v>76210</v>
      </c>
      <c r="AL330" s="1040" t="s">
        <v>1350</v>
      </c>
      <c r="AM330" s="1040" t="s">
        <v>1351</v>
      </c>
      <c r="AN330" s="1040"/>
      <c r="AO330" s="1040">
        <v>20000</v>
      </c>
      <c r="AP330" s="1040">
        <v>409732</v>
      </c>
    </row>
    <row r="331" spans="1:42" x14ac:dyDescent="0.3">
      <c r="A331" s="1040">
        <v>98</v>
      </c>
      <c r="B331" s="1040">
        <v>75531</v>
      </c>
      <c r="C331" s="1040" t="s">
        <v>558</v>
      </c>
      <c r="D331" s="1040" t="str">
        <f t="shared" si="15"/>
        <v>061901</v>
      </c>
      <c r="E331" s="1040" t="s">
        <v>559</v>
      </c>
      <c r="F331" s="1040" t="str">
        <f t="shared" si="18"/>
        <v>042</v>
      </c>
      <c r="G331" s="1040" t="s">
        <v>1291</v>
      </c>
      <c r="H331" s="1041" t="str">
        <f>"35R"</f>
        <v>35R</v>
      </c>
      <c r="I331" s="1040" t="s">
        <v>1352</v>
      </c>
      <c r="J331" s="1040">
        <v>409733</v>
      </c>
      <c r="K331" s="1045">
        <v>41397</v>
      </c>
      <c r="L331" s="1040" t="s">
        <v>561</v>
      </c>
      <c r="M331" s="1041">
        <v>2005</v>
      </c>
      <c r="N331" s="1041" t="s">
        <v>576</v>
      </c>
      <c r="O331" s="1041" t="s">
        <v>576</v>
      </c>
      <c r="P331" s="1041" t="s">
        <v>576</v>
      </c>
      <c r="Q331" s="1041" t="s">
        <v>576</v>
      </c>
      <c r="R331" s="1040">
        <v>10</v>
      </c>
      <c r="S331" s="1041">
        <v>1</v>
      </c>
      <c r="T331" s="1042">
        <v>768</v>
      </c>
      <c r="U331" s="1042">
        <v>34597</v>
      </c>
      <c r="V331" s="1042">
        <v>20440</v>
      </c>
      <c r="W331" s="1042"/>
      <c r="X331" s="1042">
        <v>45</v>
      </c>
      <c r="Y331" s="1042">
        <v>27</v>
      </c>
      <c r="Z331" s="1040" t="s">
        <v>611</v>
      </c>
      <c r="AA331" s="1040" t="s">
        <v>612</v>
      </c>
      <c r="AB331" s="1040" t="s">
        <v>606</v>
      </c>
      <c r="AC331" s="1040" t="s">
        <v>606</v>
      </c>
      <c r="AD331" s="1040" t="s">
        <v>581</v>
      </c>
      <c r="AE331" s="1054"/>
      <c r="AF331" s="1040" t="s">
        <v>582</v>
      </c>
      <c r="AG331" s="1040">
        <v>0</v>
      </c>
      <c r="AH331" s="1040" t="s">
        <v>1294</v>
      </c>
      <c r="AI331" s="1040" t="s">
        <v>594</v>
      </c>
      <c r="AJ331" s="1040" t="s">
        <v>571</v>
      </c>
      <c r="AK331" s="1041">
        <v>76210</v>
      </c>
      <c r="AL331" s="1040" t="s">
        <v>1353</v>
      </c>
      <c r="AM331" s="1040" t="s">
        <v>1354</v>
      </c>
      <c r="AN331" s="1040" t="s">
        <v>1355</v>
      </c>
      <c r="AO331" s="1040">
        <v>33000</v>
      </c>
      <c r="AP331" s="1040">
        <v>409733</v>
      </c>
    </row>
    <row r="332" spans="1:42" x14ac:dyDescent="0.3">
      <c r="A332" s="1040">
        <v>98</v>
      </c>
      <c r="B332" s="1040">
        <v>75531</v>
      </c>
      <c r="C332" s="1040" t="s">
        <v>558</v>
      </c>
      <c r="D332" s="1040" t="str">
        <f t="shared" si="15"/>
        <v>061901</v>
      </c>
      <c r="E332" s="1040" t="s">
        <v>559</v>
      </c>
      <c r="F332" s="1040" t="str">
        <f t="shared" si="18"/>
        <v>042</v>
      </c>
      <c r="G332" s="1040" t="s">
        <v>1291</v>
      </c>
      <c r="H332" s="1041" t="str">
        <f>"35S"</f>
        <v>35S</v>
      </c>
      <c r="I332" s="1040" t="s">
        <v>850</v>
      </c>
      <c r="J332" s="1040">
        <v>409734</v>
      </c>
      <c r="K332" s="1045">
        <v>41397</v>
      </c>
      <c r="L332" s="1040" t="s">
        <v>561</v>
      </c>
      <c r="M332" s="1041">
        <v>2005</v>
      </c>
      <c r="N332" s="1041" t="s">
        <v>576</v>
      </c>
      <c r="O332" s="1041" t="s">
        <v>576</v>
      </c>
      <c r="P332" s="1041" t="s">
        <v>576</v>
      </c>
      <c r="Q332" s="1041" t="s">
        <v>576</v>
      </c>
      <c r="R332" s="1040">
        <v>8</v>
      </c>
      <c r="S332" s="1041">
        <v>1</v>
      </c>
      <c r="T332" s="1042">
        <v>90</v>
      </c>
      <c r="U332" s="1042">
        <v>12581</v>
      </c>
      <c r="V332" s="1042">
        <v>1013</v>
      </c>
      <c r="W332" s="1042"/>
      <c r="X332" s="1042">
        <v>140</v>
      </c>
      <c r="Y332" s="1042">
        <v>11</v>
      </c>
      <c r="Z332" s="1040" t="s">
        <v>604</v>
      </c>
      <c r="AA332" s="1040" t="s">
        <v>605</v>
      </c>
      <c r="AB332" s="1040" t="s">
        <v>579</v>
      </c>
      <c r="AC332" s="1040" t="s">
        <v>580</v>
      </c>
      <c r="AD332" s="1040" t="s">
        <v>581</v>
      </c>
      <c r="AE332" s="1054"/>
      <c r="AF332" s="1040" t="s">
        <v>582</v>
      </c>
      <c r="AG332" s="1040">
        <v>0</v>
      </c>
      <c r="AH332" s="1040" t="s">
        <v>1294</v>
      </c>
      <c r="AI332" s="1040" t="s">
        <v>594</v>
      </c>
      <c r="AJ332" s="1040" t="s">
        <v>571</v>
      </c>
      <c r="AK332" s="1041">
        <v>76210</v>
      </c>
      <c r="AL332" s="1040" t="s">
        <v>1356</v>
      </c>
      <c r="AM332" s="1040" t="s">
        <v>1357</v>
      </c>
      <c r="AN332" s="1040"/>
      <c r="AO332" s="1040">
        <v>12000</v>
      </c>
      <c r="AP332" s="1040">
        <v>409734</v>
      </c>
    </row>
    <row r="333" spans="1:42" x14ac:dyDescent="0.3">
      <c r="A333" s="1040">
        <v>98</v>
      </c>
      <c r="B333" s="1040">
        <v>75531</v>
      </c>
      <c r="C333" s="1040" t="s">
        <v>558</v>
      </c>
      <c r="D333" s="1040" t="str">
        <f t="shared" si="15"/>
        <v>061901</v>
      </c>
      <c r="E333" s="1040" t="s">
        <v>559</v>
      </c>
      <c r="F333" s="1040" t="str">
        <f t="shared" si="18"/>
        <v>042</v>
      </c>
      <c r="G333" s="1040" t="s">
        <v>1291</v>
      </c>
      <c r="H333" s="1041" t="str">
        <f>"35T"</f>
        <v>35T</v>
      </c>
      <c r="I333" s="1040" t="s">
        <v>1358</v>
      </c>
      <c r="J333" s="1040">
        <v>409735</v>
      </c>
      <c r="K333" s="1045">
        <v>41397</v>
      </c>
      <c r="L333" s="1040" t="s">
        <v>561</v>
      </c>
      <c r="M333" s="1041">
        <v>2005</v>
      </c>
      <c r="N333" s="1041" t="s">
        <v>576</v>
      </c>
      <c r="O333" s="1041" t="s">
        <v>576</v>
      </c>
      <c r="P333" s="1041" t="s">
        <v>576</v>
      </c>
      <c r="Q333" s="1041" t="s">
        <v>576</v>
      </c>
      <c r="R333" s="1040">
        <v>10</v>
      </c>
      <c r="S333" s="1041">
        <v>1</v>
      </c>
      <c r="T333" s="1042">
        <v>220</v>
      </c>
      <c r="U333" s="1042">
        <v>10484</v>
      </c>
      <c r="V333" s="1042">
        <v>6132</v>
      </c>
      <c r="W333" s="1042"/>
      <c r="X333" s="1042">
        <v>48</v>
      </c>
      <c r="Y333" s="1042">
        <v>28</v>
      </c>
      <c r="Z333" s="1040" t="s">
        <v>611</v>
      </c>
      <c r="AA333" s="1040" t="s">
        <v>612</v>
      </c>
      <c r="AB333" s="1040" t="s">
        <v>606</v>
      </c>
      <c r="AC333" s="1040" t="s">
        <v>606</v>
      </c>
      <c r="AD333" s="1040" t="s">
        <v>581</v>
      </c>
      <c r="AE333" s="1054"/>
      <c r="AF333" s="1040" t="s">
        <v>582</v>
      </c>
      <c r="AG333" s="1040">
        <v>0</v>
      </c>
      <c r="AH333" s="1040" t="s">
        <v>1294</v>
      </c>
      <c r="AI333" s="1040" t="s">
        <v>594</v>
      </c>
      <c r="AJ333" s="1040" t="s">
        <v>571</v>
      </c>
      <c r="AK333" s="1041">
        <v>76210</v>
      </c>
      <c r="AL333" s="1040" t="s">
        <v>1359</v>
      </c>
      <c r="AM333" s="1040" t="s">
        <v>1360</v>
      </c>
      <c r="AN333" s="1040" t="s">
        <v>664</v>
      </c>
      <c r="AO333" s="1040">
        <v>10000</v>
      </c>
      <c r="AP333" s="1040">
        <v>409735</v>
      </c>
    </row>
    <row r="334" spans="1:42" x14ac:dyDescent="0.3">
      <c r="A334" s="1040">
        <v>98</v>
      </c>
      <c r="B334" s="1040">
        <v>75531</v>
      </c>
      <c r="C334" s="1040" t="s">
        <v>558</v>
      </c>
      <c r="D334" s="1040" t="str">
        <f t="shared" ref="D334:D385" si="19">"061901"</f>
        <v>061901</v>
      </c>
      <c r="E334" s="1040" t="s">
        <v>559</v>
      </c>
      <c r="F334" s="1040" t="str">
        <f t="shared" si="18"/>
        <v>042</v>
      </c>
      <c r="G334" s="1040" t="s">
        <v>1291</v>
      </c>
      <c r="H334" s="1041" t="str">
        <f>"35U"</f>
        <v>35U</v>
      </c>
      <c r="I334" s="1040" t="s">
        <v>1361</v>
      </c>
      <c r="J334" s="1040">
        <v>409736</v>
      </c>
      <c r="K334" s="1045">
        <v>41397</v>
      </c>
      <c r="L334" s="1040" t="s">
        <v>561</v>
      </c>
      <c r="M334" s="1041">
        <v>2005</v>
      </c>
      <c r="N334" s="1041" t="s">
        <v>576</v>
      </c>
      <c r="O334" s="1041" t="s">
        <v>576</v>
      </c>
      <c r="P334" s="1041" t="s">
        <v>576</v>
      </c>
      <c r="Q334" s="1041" t="s">
        <v>576</v>
      </c>
      <c r="R334" s="1040">
        <v>10</v>
      </c>
      <c r="S334" s="1041">
        <v>1</v>
      </c>
      <c r="T334" s="1042">
        <v>400</v>
      </c>
      <c r="U334" s="1042">
        <v>16774</v>
      </c>
      <c r="V334" s="1042">
        <v>10220</v>
      </c>
      <c r="W334" s="1042"/>
      <c r="X334" s="1042">
        <v>42</v>
      </c>
      <c r="Y334" s="1042">
        <v>26</v>
      </c>
      <c r="Z334" s="1040" t="s">
        <v>611</v>
      </c>
      <c r="AA334" s="1040" t="s">
        <v>612</v>
      </c>
      <c r="AB334" s="1040" t="s">
        <v>606</v>
      </c>
      <c r="AC334" s="1040" t="s">
        <v>606</v>
      </c>
      <c r="AD334" s="1040" t="s">
        <v>581</v>
      </c>
      <c r="AE334" s="1054"/>
      <c r="AF334" s="1040" t="s">
        <v>582</v>
      </c>
      <c r="AG334" s="1040">
        <v>0</v>
      </c>
      <c r="AH334" s="1040" t="s">
        <v>1294</v>
      </c>
      <c r="AI334" s="1040" t="s">
        <v>594</v>
      </c>
      <c r="AJ334" s="1040" t="s">
        <v>571</v>
      </c>
      <c r="AK334" s="1041">
        <v>76210</v>
      </c>
      <c r="AL334" s="1040" t="s">
        <v>1362</v>
      </c>
      <c r="AM334" s="1040" t="s">
        <v>1363</v>
      </c>
      <c r="AN334" s="1040"/>
      <c r="AO334" s="1040">
        <v>16000</v>
      </c>
      <c r="AP334" s="1040">
        <v>409736</v>
      </c>
    </row>
    <row r="335" spans="1:42" x14ac:dyDescent="0.3">
      <c r="A335" s="1040">
        <v>98</v>
      </c>
      <c r="B335" s="1040">
        <v>75531</v>
      </c>
      <c r="C335" s="1040" t="s">
        <v>558</v>
      </c>
      <c r="D335" s="1040" t="str">
        <f t="shared" si="19"/>
        <v>061901</v>
      </c>
      <c r="E335" s="1040" t="s">
        <v>559</v>
      </c>
      <c r="F335" s="1040" t="str">
        <f t="shared" si="18"/>
        <v>042</v>
      </c>
      <c r="G335" s="1040" t="s">
        <v>1291</v>
      </c>
      <c r="H335" s="1041" t="str">
        <f>"35V"</f>
        <v>35V</v>
      </c>
      <c r="I335" s="1040" t="s">
        <v>1192</v>
      </c>
      <c r="J335" s="1040">
        <v>409737</v>
      </c>
      <c r="K335" s="1045">
        <v>41397</v>
      </c>
      <c r="L335" s="1040" t="s">
        <v>561</v>
      </c>
      <c r="M335" s="1041">
        <v>2005</v>
      </c>
      <c r="N335" s="1041" t="s">
        <v>576</v>
      </c>
      <c r="O335" s="1041" t="s">
        <v>576</v>
      </c>
      <c r="P335" s="1041" t="s">
        <v>576</v>
      </c>
      <c r="Q335" s="1041" t="s">
        <v>576</v>
      </c>
      <c r="R335" s="1040">
        <v>8</v>
      </c>
      <c r="S335" s="1041">
        <v>1</v>
      </c>
      <c r="T335" s="1042">
        <v>240</v>
      </c>
      <c r="U335" s="1042">
        <v>116373</v>
      </c>
      <c r="V335" s="1042">
        <v>1013</v>
      </c>
      <c r="W335" s="1042"/>
      <c r="X335" s="1042">
        <v>485</v>
      </c>
      <c r="Y335" s="1042">
        <v>4</v>
      </c>
      <c r="Z335" s="1040" t="s">
        <v>611</v>
      </c>
      <c r="AA335" s="1040" t="s">
        <v>612</v>
      </c>
      <c r="AB335" s="1040" t="s">
        <v>606</v>
      </c>
      <c r="AC335" s="1040" t="s">
        <v>1345</v>
      </c>
      <c r="AD335" s="1040" t="s">
        <v>581</v>
      </c>
      <c r="AE335" s="1054"/>
      <c r="AF335" s="1040" t="s">
        <v>582</v>
      </c>
      <c r="AG335" s="1040">
        <v>0</v>
      </c>
      <c r="AH335" s="1040" t="s">
        <v>1294</v>
      </c>
      <c r="AI335" s="1040" t="s">
        <v>594</v>
      </c>
      <c r="AJ335" s="1040" t="s">
        <v>571</v>
      </c>
      <c r="AK335" s="1041">
        <v>76210</v>
      </c>
      <c r="AL335" s="1040" t="s">
        <v>1364</v>
      </c>
      <c r="AM335" s="1040" t="s">
        <v>1365</v>
      </c>
      <c r="AN335" s="1040" t="s">
        <v>1348</v>
      </c>
      <c r="AO335" s="1040">
        <v>111000</v>
      </c>
      <c r="AP335" s="1040">
        <v>409737</v>
      </c>
    </row>
    <row r="336" spans="1:42" x14ac:dyDescent="0.3">
      <c r="A336" s="1040">
        <v>98</v>
      </c>
      <c r="B336" s="1040">
        <v>75531</v>
      </c>
      <c r="C336" s="1040" t="s">
        <v>558</v>
      </c>
      <c r="D336" s="1040" t="str">
        <f t="shared" si="19"/>
        <v>061901</v>
      </c>
      <c r="E336" s="1040" t="s">
        <v>559</v>
      </c>
      <c r="F336" s="1040" t="str">
        <f t="shared" si="18"/>
        <v>042</v>
      </c>
      <c r="G336" s="1040" t="s">
        <v>1291</v>
      </c>
      <c r="H336" s="1041" t="str">
        <f>"35W"</f>
        <v>35W</v>
      </c>
      <c r="I336" s="1040" t="s">
        <v>661</v>
      </c>
      <c r="J336" s="1040">
        <v>409738</v>
      </c>
      <c r="K336" s="1045">
        <v>41397</v>
      </c>
      <c r="L336" s="1040" t="s">
        <v>561</v>
      </c>
      <c r="M336" s="1041">
        <v>2005</v>
      </c>
      <c r="N336" s="1041" t="s">
        <v>576</v>
      </c>
      <c r="O336" s="1041" t="s">
        <v>576</v>
      </c>
      <c r="P336" s="1041" t="s">
        <v>576</v>
      </c>
      <c r="Q336" s="1041" t="s">
        <v>576</v>
      </c>
      <c r="R336" s="1040">
        <v>6</v>
      </c>
      <c r="S336" s="1041">
        <v>1</v>
      </c>
      <c r="T336" s="1042">
        <v>200</v>
      </c>
      <c r="U336" s="1042">
        <v>4194</v>
      </c>
      <c r="V336" s="1042">
        <v>3039</v>
      </c>
      <c r="W336" s="1042"/>
      <c r="X336" s="1042">
        <v>21</v>
      </c>
      <c r="Y336" s="1042">
        <v>15</v>
      </c>
      <c r="Z336" s="1040" t="s">
        <v>577</v>
      </c>
      <c r="AA336" s="1040" t="s">
        <v>578</v>
      </c>
      <c r="AB336" s="1040" t="s">
        <v>606</v>
      </c>
      <c r="AC336" s="1040" t="s">
        <v>606</v>
      </c>
      <c r="AD336" s="1040" t="s">
        <v>581</v>
      </c>
      <c r="AE336" s="1054"/>
      <c r="AF336" s="1040" t="s">
        <v>582</v>
      </c>
      <c r="AG336" s="1040">
        <v>0</v>
      </c>
      <c r="AH336" s="1040" t="s">
        <v>1294</v>
      </c>
      <c r="AI336" s="1040" t="s">
        <v>594</v>
      </c>
      <c r="AJ336" s="1040" t="s">
        <v>571</v>
      </c>
      <c r="AK336" s="1041">
        <v>76210</v>
      </c>
      <c r="AL336" s="1040" t="s">
        <v>1320</v>
      </c>
      <c r="AM336" s="1040" t="s">
        <v>1366</v>
      </c>
      <c r="AN336" s="1040"/>
      <c r="AO336" s="1040">
        <v>4000</v>
      </c>
      <c r="AP336" s="1040">
        <v>409738</v>
      </c>
    </row>
    <row r="337" spans="1:42" x14ac:dyDescent="0.3">
      <c r="A337" s="1040">
        <v>98</v>
      </c>
      <c r="B337" s="1040">
        <v>75531</v>
      </c>
      <c r="C337" s="1040" t="s">
        <v>558</v>
      </c>
      <c r="D337" s="1040" t="str">
        <f t="shared" si="19"/>
        <v>061901</v>
      </c>
      <c r="E337" s="1040" t="s">
        <v>559</v>
      </c>
      <c r="F337" s="1040" t="str">
        <f t="shared" si="18"/>
        <v>042</v>
      </c>
      <c r="G337" s="1040" t="s">
        <v>1291</v>
      </c>
      <c r="H337" s="1041" t="str">
        <f>"35X"</f>
        <v>35X</v>
      </c>
      <c r="I337" s="1040" t="s">
        <v>853</v>
      </c>
      <c r="J337" s="1040">
        <v>409739</v>
      </c>
      <c r="K337" s="1045">
        <v>41397</v>
      </c>
      <c r="L337" s="1040" t="s">
        <v>561</v>
      </c>
      <c r="M337" s="1041">
        <v>2005</v>
      </c>
      <c r="N337" s="1041" t="s">
        <v>576</v>
      </c>
      <c r="O337" s="1041" t="s">
        <v>576</v>
      </c>
      <c r="P337" s="1041" t="s">
        <v>576</v>
      </c>
      <c r="Q337" s="1041" t="s">
        <v>576</v>
      </c>
      <c r="R337" s="1040">
        <v>8</v>
      </c>
      <c r="S337" s="1041">
        <v>1</v>
      </c>
      <c r="T337" s="1042">
        <v>90</v>
      </c>
      <c r="U337" s="1042">
        <v>12581</v>
      </c>
      <c r="V337" s="1042">
        <v>1013</v>
      </c>
      <c r="W337" s="1042"/>
      <c r="X337" s="1042">
        <v>140</v>
      </c>
      <c r="Y337" s="1042">
        <v>11</v>
      </c>
      <c r="Z337" s="1040" t="s">
        <v>604</v>
      </c>
      <c r="AA337" s="1040" t="s">
        <v>605</v>
      </c>
      <c r="AB337" s="1040" t="s">
        <v>579</v>
      </c>
      <c r="AC337" s="1040" t="s">
        <v>580</v>
      </c>
      <c r="AD337" s="1040" t="s">
        <v>581</v>
      </c>
      <c r="AE337" s="1054"/>
      <c r="AF337" s="1040" t="s">
        <v>582</v>
      </c>
      <c r="AG337" s="1040">
        <v>0</v>
      </c>
      <c r="AH337" s="1040" t="s">
        <v>1294</v>
      </c>
      <c r="AI337" s="1040" t="s">
        <v>594</v>
      </c>
      <c r="AJ337" s="1040" t="s">
        <v>571</v>
      </c>
      <c r="AK337" s="1041">
        <v>76210</v>
      </c>
      <c r="AL337" s="1040" t="s">
        <v>1367</v>
      </c>
      <c r="AM337" s="1040" t="s">
        <v>1344</v>
      </c>
      <c r="AN337" s="1040"/>
      <c r="AO337" s="1040">
        <v>12000</v>
      </c>
      <c r="AP337" s="1040">
        <v>409739</v>
      </c>
    </row>
    <row r="338" spans="1:42" x14ac:dyDescent="0.3">
      <c r="A338" s="1040">
        <v>98</v>
      </c>
      <c r="B338" s="1040">
        <v>75531</v>
      </c>
      <c r="C338" s="1040" t="s">
        <v>558</v>
      </c>
      <c r="D338" s="1040" t="str">
        <f t="shared" si="19"/>
        <v>061901</v>
      </c>
      <c r="E338" s="1040" t="s">
        <v>559</v>
      </c>
      <c r="F338" s="1040" t="str">
        <f t="shared" si="18"/>
        <v>042</v>
      </c>
      <c r="G338" s="1040" t="s">
        <v>1291</v>
      </c>
      <c r="H338" s="1041" t="str">
        <f>"35Y"</f>
        <v>35Y</v>
      </c>
      <c r="I338" s="1040" t="s">
        <v>1368</v>
      </c>
      <c r="J338" s="1040">
        <v>409740</v>
      </c>
      <c r="K338" s="1045">
        <v>41397</v>
      </c>
      <c r="L338" s="1040" t="s">
        <v>561</v>
      </c>
      <c r="M338" s="1041">
        <v>2005</v>
      </c>
      <c r="N338" s="1041" t="s">
        <v>576</v>
      </c>
      <c r="O338" s="1041" t="s">
        <v>576</v>
      </c>
      <c r="P338" s="1041" t="s">
        <v>576</v>
      </c>
      <c r="Q338" s="1041" t="s">
        <v>576</v>
      </c>
      <c r="R338" s="1040">
        <v>10</v>
      </c>
      <c r="S338" s="1041">
        <v>1</v>
      </c>
      <c r="T338" s="1042">
        <v>200</v>
      </c>
      <c r="U338" s="1042">
        <v>9436</v>
      </c>
      <c r="V338" s="1042">
        <v>5110</v>
      </c>
      <c r="W338" s="1042"/>
      <c r="X338" s="1042">
        <v>47</v>
      </c>
      <c r="Y338" s="1042">
        <v>26</v>
      </c>
      <c r="Z338" s="1040" t="s">
        <v>611</v>
      </c>
      <c r="AA338" s="1040" t="s">
        <v>612</v>
      </c>
      <c r="AB338" s="1040" t="s">
        <v>606</v>
      </c>
      <c r="AC338" s="1040" t="s">
        <v>606</v>
      </c>
      <c r="AD338" s="1040" t="s">
        <v>581</v>
      </c>
      <c r="AE338" s="1054"/>
      <c r="AF338" s="1040" t="s">
        <v>582</v>
      </c>
      <c r="AG338" s="1040">
        <v>0</v>
      </c>
      <c r="AH338" s="1040" t="s">
        <v>1294</v>
      </c>
      <c r="AI338" s="1040" t="s">
        <v>594</v>
      </c>
      <c r="AJ338" s="1040" t="s">
        <v>571</v>
      </c>
      <c r="AK338" s="1041">
        <v>76210</v>
      </c>
      <c r="AL338" s="1040" t="s">
        <v>1369</v>
      </c>
      <c r="AM338" s="1040" t="s">
        <v>1370</v>
      </c>
      <c r="AN338" s="1040"/>
      <c r="AO338" s="1040">
        <v>9000</v>
      </c>
      <c r="AP338" s="1040">
        <v>409740</v>
      </c>
    </row>
    <row r="339" spans="1:42" x14ac:dyDescent="0.3">
      <c r="A339" s="1040">
        <v>98</v>
      </c>
      <c r="B339" s="1040">
        <v>75531</v>
      </c>
      <c r="C339" s="1040" t="s">
        <v>558</v>
      </c>
      <c r="D339" s="1040" t="str">
        <f t="shared" si="19"/>
        <v>061901</v>
      </c>
      <c r="E339" s="1040" t="s">
        <v>559</v>
      </c>
      <c r="F339" s="1040" t="str">
        <f t="shared" si="18"/>
        <v>042</v>
      </c>
      <c r="G339" s="1040" t="s">
        <v>1291</v>
      </c>
      <c r="H339" s="1041" t="str">
        <f>"35Z"</f>
        <v>35Z</v>
      </c>
      <c r="I339" s="1040" t="s">
        <v>1371</v>
      </c>
      <c r="J339" s="1040">
        <v>409741</v>
      </c>
      <c r="K339" s="1045">
        <v>41397</v>
      </c>
      <c r="L339" s="1040" t="s">
        <v>561</v>
      </c>
      <c r="M339" s="1041">
        <v>2005</v>
      </c>
      <c r="N339" s="1041" t="s">
        <v>576</v>
      </c>
      <c r="O339" s="1041" t="s">
        <v>576</v>
      </c>
      <c r="P339" s="1041" t="s">
        <v>576</v>
      </c>
      <c r="Q339" s="1041" t="s">
        <v>576</v>
      </c>
      <c r="R339" s="1040">
        <v>8</v>
      </c>
      <c r="S339" s="1041">
        <v>1</v>
      </c>
      <c r="T339" s="1042">
        <v>360</v>
      </c>
      <c r="U339" s="1042">
        <v>18871</v>
      </c>
      <c r="V339" s="1042">
        <v>0</v>
      </c>
      <c r="W339" s="1042"/>
      <c r="X339" s="1042">
        <v>52</v>
      </c>
      <c r="Y339" s="1042">
        <v>0</v>
      </c>
      <c r="Z339" s="1040" t="s">
        <v>563</v>
      </c>
      <c r="AA339" s="1040" t="s">
        <v>1299</v>
      </c>
      <c r="AB339" s="1040" t="s">
        <v>606</v>
      </c>
      <c r="AC339" s="1040" t="s">
        <v>606</v>
      </c>
      <c r="AD339" s="1040" t="s">
        <v>581</v>
      </c>
      <c r="AE339" s="1054"/>
      <c r="AF339" s="1040" t="s">
        <v>582</v>
      </c>
      <c r="AG339" s="1040">
        <v>0</v>
      </c>
      <c r="AH339" s="1040" t="s">
        <v>1294</v>
      </c>
      <c r="AI339" s="1040" t="s">
        <v>594</v>
      </c>
      <c r="AJ339" s="1040" t="s">
        <v>571</v>
      </c>
      <c r="AK339" s="1041">
        <v>76210</v>
      </c>
      <c r="AL339" s="1040" t="s">
        <v>1372</v>
      </c>
      <c r="AM339" s="1040" t="s">
        <v>1373</v>
      </c>
      <c r="AN339" s="1040"/>
      <c r="AO339" s="1040">
        <v>18000</v>
      </c>
      <c r="AP339" s="1040">
        <v>409741</v>
      </c>
    </row>
    <row r="340" spans="1:42" x14ac:dyDescent="0.3">
      <c r="A340" s="1040">
        <v>98</v>
      </c>
      <c r="B340" s="1040">
        <v>75531</v>
      </c>
      <c r="C340" s="1040" t="s">
        <v>558</v>
      </c>
      <c r="D340" s="1040" t="str">
        <f t="shared" si="19"/>
        <v>061901</v>
      </c>
      <c r="E340" s="1040" t="s">
        <v>559</v>
      </c>
      <c r="F340" s="1040" t="str">
        <f t="shared" si="18"/>
        <v>042</v>
      </c>
      <c r="G340" s="1040" t="s">
        <v>1291</v>
      </c>
      <c r="H340" s="1041" t="str">
        <f>"999"</f>
        <v>999</v>
      </c>
      <c r="I340" s="1040" t="s">
        <v>586</v>
      </c>
      <c r="J340" s="1040">
        <v>409772</v>
      </c>
      <c r="K340" s="1040"/>
      <c r="L340" s="1040" t="s">
        <v>561</v>
      </c>
      <c r="M340" s="1041"/>
      <c r="N340" s="1041" t="s">
        <v>576</v>
      </c>
      <c r="O340" s="1041" t="s">
        <v>576</v>
      </c>
      <c r="P340" s="1041" t="s">
        <v>576</v>
      </c>
      <c r="Q340" s="1041" t="s">
        <v>576</v>
      </c>
      <c r="R340" s="1040">
        <v>0</v>
      </c>
      <c r="S340" s="1041">
        <v>0</v>
      </c>
      <c r="T340" s="1042"/>
      <c r="U340" s="1042"/>
      <c r="V340" s="1042"/>
      <c r="W340" s="1042">
        <v>1975209</v>
      </c>
      <c r="X340" s="1042"/>
      <c r="Y340" s="1042"/>
      <c r="Z340" s="1040"/>
      <c r="AA340" s="1040"/>
      <c r="AB340" s="1040"/>
      <c r="AC340" s="1040"/>
      <c r="AD340" s="1040"/>
      <c r="AE340" s="1041"/>
      <c r="AF340" s="1040"/>
      <c r="AG340" s="1040">
        <v>0</v>
      </c>
      <c r="AH340" s="1040" t="s">
        <v>1294</v>
      </c>
      <c r="AI340" s="1040" t="s">
        <v>594</v>
      </c>
      <c r="AJ340" s="1040" t="s">
        <v>571</v>
      </c>
      <c r="AK340" s="1041">
        <v>76210</v>
      </c>
      <c r="AL340" s="1040"/>
      <c r="AM340" s="1040"/>
      <c r="AN340" s="1040"/>
      <c r="AO340" s="1040">
        <v>0</v>
      </c>
      <c r="AP340" s="1040">
        <v>409772</v>
      </c>
    </row>
    <row r="341" spans="1:42" s="1059" customFormat="1" x14ac:dyDescent="0.3">
      <c r="A341" s="1056"/>
      <c r="B341" s="1056"/>
      <c r="C341" s="1056"/>
      <c r="D341" s="1056"/>
      <c r="E341" s="1056"/>
      <c r="F341" s="1056"/>
      <c r="G341" s="1056"/>
      <c r="H341" s="1057"/>
      <c r="I341" s="1056"/>
      <c r="J341" s="1056"/>
      <c r="K341" s="1056"/>
      <c r="L341" s="1056"/>
      <c r="M341" s="1057"/>
      <c r="N341" s="1057"/>
      <c r="O341" s="1057"/>
      <c r="P341" s="1057"/>
      <c r="Q341" s="1057"/>
      <c r="R341" s="1056"/>
      <c r="S341" s="1057"/>
      <c r="T341" s="1058"/>
      <c r="U341" s="1058"/>
      <c r="V341" s="1058"/>
      <c r="W341" s="1058"/>
      <c r="X341" s="1058"/>
      <c r="Y341" s="1058"/>
      <c r="Z341" s="1056"/>
      <c r="AA341" s="1056"/>
      <c r="AB341" s="1056"/>
      <c r="AC341" s="1056"/>
      <c r="AD341" s="1056"/>
      <c r="AE341" s="1057"/>
      <c r="AF341" s="1056"/>
      <c r="AG341" s="1056"/>
      <c r="AH341" s="1056"/>
      <c r="AI341" s="1056"/>
      <c r="AJ341" s="1056"/>
      <c r="AK341" s="1057"/>
      <c r="AL341" s="1056"/>
      <c r="AM341" s="1056"/>
      <c r="AN341" s="1056"/>
      <c r="AO341" s="1056"/>
      <c r="AP341" s="1056"/>
    </row>
    <row r="342" spans="1:42" s="1059" customFormat="1" x14ac:dyDescent="0.3">
      <c r="A342" s="1060"/>
      <c r="B342" s="1060"/>
      <c r="C342" s="1060"/>
      <c r="D342" s="1060"/>
      <c r="E342" s="1060"/>
      <c r="F342" s="1060"/>
      <c r="G342" s="1060"/>
      <c r="H342" s="1061"/>
      <c r="I342" s="1062" t="s">
        <v>1374</v>
      </c>
      <c r="J342" s="1060"/>
      <c r="K342" s="1060"/>
      <c r="L342" s="1060"/>
      <c r="M342" s="1061"/>
      <c r="N342" s="1061"/>
      <c r="O342" s="1061"/>
      <c r="P342" s="1061"/>
      <c r="Q342" s="1061"/>
      <c r="R342" s="1060"/>
      <c r="S342" s="1061"/>
      <c r="T342" s="1063"/>
      <c r="U342" s="1063"/>
      <c r="V342" s="1063"/>
      <c r="W342" s="1063"/>
      <c r="X342" s="1063"/>
      <c r="Y342" s="1063"/>
      <c r="Z342" s="1060"/>
      <c r="AA342" s="1060"/>
      <c r="AB342" s="1060"/>
      <c r="AC342" s="1060"/>
      <c r="AD342" s="1060"/>
      <c r="AE342" s="1061"/>
      <c r="AF342" s="1060"/>
      <c r="AG342" s="1060"/>
      <c r="AH342" s="1060"/>
      <c r="AI342" s="1060"/>
      <c r="AJ342" s="1060"/>
      <c r="AK342" s="1061"/>
      <c r="AL342" s="1060"/>
      <c r="AM342" s="1060"/>
      <c r="AN342" s="1060"/>
      <c r="AO342" s="1060"/>
      <c r="AP342" s="1060"/>
    </row>
    <row r="343" spans="1:42" x14ac:dyDescent="0.3">
      <c r="A343" s="1040">
        <v>98</v>
      </c>
      <c r="B343" s="1040">
        <v>75531</v>
      </c>
      <c r="C343" s="1040" t="s">
        <v>558</v>
      </c>
      <c r="D343" s="1040" t="str">
        <f t="shared" si="19"/>
        <v>061901</v>
      </c>
      <c r="E343" s="1040" t="s">
        <v>559</v>
      </c>
      <c r="F343" s="1040" t="str">
        <f>"043"</f>
        <v>043</v>
      </c>
      <c r="H343" s="1041" t="str">
        <f>"28A"</f>
        <v>28A</v>
      </c>
      <c r="I343" s="1040" t="s">
        <v>560</v>
      </c>
      <c r="J343" s="1040">
        <v>409526</v>
      </c>
      <c r="K343" s="1045">
        <v>41394</v>
      </c>
      <c r="L343" s="1040" t="s">
        <v>561</v>
      </c>
      <c r="M343" s="1041">
        <v>2002</v>
      </c>
      <c r="N343" s="1041" t="s">
        <v>562</v>
      </c>
      <c r="O343" s="1041" t="s">
        <v>562</v>
      </c>
      <c r="P343" s="1041" t="s">
        <v>562</v>
      </c>
      <c r="Q343" s="1041" t="s">
        <v>562</v>
      </c>
      <c r="R343" s="1040">
        <v>15</v>
      </c>
      <c r="S343" s="1041">
        <v>2</v>
      </c>
      <c r="T343" s="1042">
        <v>88237</v>
      </c>
      <c r="U343" s="1042">
        <v>13722898</v>
      </c>
      <c r="V343" s="1042">
        <v>2158178</v>
      </c>
      <c r="W343" s="1042"/>
      <c r="X343" s="1042">
        <v>156</v>
      </c>
      <c r="Y343" s="1042">
        <v>24</v>
      </c>
      <c r="Z343" s="1040" t="s">
        <v>563</v>
      </c>
      <c r="AA343" s="1040" t="s">
        <v>1375</v>
      </c>
      <c r="AB343" s="1040" t="s">
        <v>565</v>
      </c>
      <c r="AC343" s="1040" t="s">
        <v>566</v>
      </c>
      <c r="AD343" s="1040" t="s">
        <v>1376</v>
      </c>
      <c r="AE343" s="1041"/>
      <c r="AF343" s="1040" t="s">
        <v>754</v>
      </c>
      <c r="AG343" s="1040">
        <v>0</v>
      </c>
      <c r="AH343" s="1040" t="s">
        <v>1377</v>
      </c>
      <c r="AI343" s="1040" t="s">
        <v>594</v>
      </c>
      <c r="AJ343" s="1040" t="s">
        <v>571</v>
      </c>
      <c r="AK343" s="1041">
        <v>76209</v>
      </c>
      <c r="AL343" s="1040" t="s">
        <v>1378</v>
      </c>
      <c r="AM343" s="1040" t="s">
        <v>1246</v>
      </c>
      <c r="AN343" s="1040" t="s">
        <v>1379</v>
      </c>
      <c r="AO343" s="1040">
        <v>13089220</v>
      </c>
      <c r="AP343" s="1040">
        <v>409526</v>
      </c>
    </row>
    <row r="344" spans="1:42" x14ac:dyDescent="0.3">
      <c r="A344" s="1040">
        <v>98</v>
      </c>
      <c r="B344" s="1040">
        <v>75531</v>
      </c>
      <c r="C344" s="1040" t="s">
        <v>558</v>
      </c>
      <c r="D344" s="1040" t="str">
        <f t="shared" si="19"/>
        <v>061901</v>
      </c>
      <c r="E344" s="1040" t="s">
        <v>559</v>
      </c>
      <c r="F344" s="1040" t="str">
        <f>"043"</f>
        <v>043</v>
      </c>
      <c r="G344" s="1040" t="s">
        <v>1374</v>
      </c>
      <c r="H344" s="1041" t="str">
        <f>"999"</f>
        <v>999</v>
      </c>
      <c r="I344" s="1040" t="s">
        <v>586</v>
      </c>
      <c r="J344" s="1040">
        <v>409755</v>
      </c>
      <c r="K344" s="1040"/>
      <c r="L344" s="1040" t="s">
        <v>561</v>
      </c>
      <c r="M344" s="1041"/>
      <c r="N344" s="1041" t="s">
        <v>576</v>
      </c>
      <c r="O344" s="1041" t="s">
        <v>576</v>
      </c>
      <c r="P344" s="1041" t="s">
        <v>576</v>
      </c>
      <c r="Q344" s="1041" t="s">
        <v>576</v>
      </c>
      <c r="R344" s="1040">
        <v>0</v>
      </c>
      <c r="S344" s="1041">
        <v>0</v>
      </c>
      <c r="T344" s="1042"/>
      <c r="U344" s="1042"/>
      <c r="V344" s="1042"/>
      <c r="W344" s="1042">
        <v>185569</v>
      </c>
      <c r="X344" s="1042"/>
      <c r="Y344" s="1042"/>
      <c r="Z344" s="1040"/>
      <c r="AA344" s="1040"/>
      <c r="AB344" s="1040"/>
      <c r="AC344" s="1040"/>
      <c r="AD344" s="1040"/>
      <c r="AE344" s="1041"/>
      <c r="AF344" s="1040"/>
      <c r="AG344" s="1040">
        <v>0</v>
      </c>
      <c r="AH344" s="1040" t="s">
        <v>1377</v>
      </c>
      <c r="AI344" s="1040" t="s">
        <v>594</v>
      </c>
      <c r="AJ344" s="1040" t="s">
        <v>571</v>
      </c>
      <c r="AK344" s="1041">
        <v>76209</v>
      </c>
      <c r="AL344" s="1040"/>
      <c r="AM344" s="1040"/>
      <c r="AN344" s="1040" t="s">
        <v>689</v>
      </c>
      <c r="AO344" s="1040">
        <v>0</v>
      </c>
      <c r="AP344" s="1040">
        <v>409755</v>
      </c>
    </row>
    <row r="345" spans="1:42" s="1059" customFormat="1" x14ac:dyDescent="0.3">
      <c r="A345" s="1056"/>
      <c r="B345" s="1056"/>
      <c r="C345" s="1056"/>
      <c r="D345" s="1056"/>
      <c r="E345" s="1056"/>
      <c r="F345" s="1056"/>
      <c r="G345" s="1056"/>
      <c r="H345" s="1057"/>
      <c r="I345" s="1056"/>
      <c r="J345" s="1056"/>
      <c r="K345" s="1056"/>
      <c r="L345" s="1056"/>
      <c r="M345" s="1057"/>
      <c r="N345" s="1057"/>
      <c r="O345" s="1057"/>
      <c r="P345" s="1057"/>
      <c r="Q345" s="1057"/>
      <c r="R345" s="1056"/>
      <c r="S345" s="1057"/>
      <c r="T345" s="1058"/>
      <c r="U345" s="1058"/>
      <c r="V345" s="1058"/>
      <c r="W345" s="1058"/>
      <c r="X345" s="1058"/>
      <c r="Y345" s="1058"/>
      <c r="Z345" s="1056"/>
      <c r="AA345" s="1056"/>
      <c r="AB345" s="1056"/>
      <c r="AC345" s="1056"/>
      <c r="AD345" s="1056"/>
      <c r="AE345" s="1057"/>
      <c r="AF345" s="1056"/>
      <c r="AG345" s="1056"/>
      <c r="AH345" s="1056"/>
      <c r="AI345" s="1056"/>
      <c r="AJ345" s="1056"/>
      <c r="AK345" s="1057"/>
      <c r="AL345" s="1056"/>
      <c r="AM345" s="1056"/>
      <c r="AN345" s="1056"/>
      <c r="AO345" s="1056"/>
      <c r="AP345" s="1056"/>
    </row>
    <row r="346" spans="1:42" s="1059" customFormat="1" x14ac:dyDescent="0.3">
      <c r="A346" s="1060"/>
      <c r="B346" s="1060"/>
      <c r="C346" s="1060"/>
      <c r="D346" s="1060"/>
      <c r="E346" s="1060"/>
      <c r="F346" s="1060"/>
      <c r="G346" s="1060"/>
      <c r="H346" s="1061"/>
      <c r="I346" s="1062" t="s">
        <v>1380</v>
      </c>
      <c r="J346" s="1060"/>
      <c r="K346" s="1060"/>
      <c r="L346" s="1060"/>
      <c r="M346" s="1061"/>
      <c r="N346" s="1061"/>
      <c r="O346" s="1061"/>
      <c r="P346" s="1061"/>
      <c r="Q346" s="1061"/>
      <c r="R346" s="1060"/>
      <c r="S346" s="1061"/>
      <c r="T346" s="1063"/>
      <c r="U346" s="1063"/>
      <c r="V346" s="1063"/>
      <c r="W346" s="1063"/>
      <c r="X346" s="1063"/>
      <c r="Y346" s="1063"/>
      <c r="Z346" s="1060"/>
      <c r="AA346" s="1060"/>
      <c r="AB346" s="1060"/>
      <c r="AC346" s="1060"/>
      <c r="AD346" s="1060"/>
      <c r="AE346" s="1061"/>
      <c r="AF346" s="1060"/>
      <c r="AG346" s="1060"/>
      <c r="AH346" s="1060"/>
      <c r="AI346" s="1060"/>
      <c r="AJ346" s="1060"/>
      <c r="AK346" s="1061"/>
      <c r="AL346" s="1060"/>
      <c r="AM346" s="1060"/>
      <c r="AN346" s="1060"/>
      <c r="AO346" s="1060"/>
      <c r="AP346" s="1060"/>
    </row>
    <row r="347" spans="1:42" x14ac:dyDescent="0.3">
      <c r="A347" s="1040">
        <v>98</v>
      </c>
      <c r="B347" s="1040">
        <v>75531</v>
      </c>
      <c r="C347" s="1040" t="s">
        <v>558</v>
      </c>
      <c r="D347" s="1040" t="str">
        <f t="shared" si="19"/>
        <v>061901</v>
      </c>
      <c r="E347" s="1040" t="s">
        <v>559</v>
      </c>
      <c r="F347" s="1040" t="str">
        <f>"044"</f>
        <v>044</v>
      </c>
      <c r="H347" s="1041" t="str">
        <f>"19A"</f>
        <v>19A</v>
      </c>
      <c r="I347" s="1040" t="s">
        <v>1381</v>
      </c>
      <c r="J347" s="1040">
        <v>409569</v>
      </c>
      <c r="K347" s="1045">
        <v>41400</v>
      </c>
      <c r="L347" s="1040" t="s">
        <v>561</v>
      </c>
      <c r="M347" s="1041">
        <v>1959</v>
      </c>
      <c r="N347" s="1041" t="s">
        <v>562</v>
      </c>
      <c r="O347" s="1041" t="s">
        <v>562</v>
      </c>
      <c r="P347" s="1041" t="s">
        <v>562</v>
      </c>
      <c r="Q347" s="1041" t="s">
        <v>562</v>
      </c>
      <c r="R347" s="1040">
        <v>12</v>
      </c>
      <c r="S347" s="1041">
        <v>2</v>
      </c>
      <c r="T347" s="1042">
        <v>31557</v>
      </c>
      <c r="U347" s="1042">
        <v>5267223</v>
      </c>
      <c r="V347" s="1042">
        <v>760382</v>
      </c>
      <c r="W347" s="1042"/>
      <c r="X347" s="1042">
        <v>167</v>
      </c>
      <c r="Y347" s="1042">
        <v>24</v>
      </c>
      <c r="Z347" s="1040" t="s">
        <v>563</v>
      </c>
      <c r="AA347" s="1040" t="s">
        <v>1382</v>
      </c>
      <c r="AB347" s="1040" t="s">
        <v>565</v>
      </c>
      <c r="AC347" s="1040" t="s">
        <v>566</v>
      </c>
      <c r="AD347" s="1040" t="s">
        <v>907</v>
      </c>
      <c r="AE347" s="1055"/>
      <c r="AF347" s="1040" t="s">
        <v>908</v>
      </c>
      <c r="AG347" s="1040">
        <v>0</v>
      </c>
      <c r="AH347" s="1040" t="s">
        <v>1383</v>
      </c>
      <c r="AI347" s="1040" t="s">
        <v>594</v>
      </c>
      <c r="AJ347" s="1040" t="s">
        <v>571</v>
      </c>
      <c r="AK347" s="1041">
        <v>76205</v>
      </c>
      <c r="AL347" s="1040" t="s">
        <v>1384</v>
      </c>
      <c r="AM347" s="1040" t="s">
        <v>1385</v>
      </c>
      <c r="AN347" s="1040" t="s">
        <v>1386</v>
      </c>
      <c r="AO347" s="1040">
        <v>5024000</v>
      </c>
      <c r="AP347" s="1040">
        <v>409569</v>
      </c>
    </row>
    <row r="348" spans="1:42" x14ac:dyDescent="0.3">
      <c r="A348" s="1040">
        <v>98</v>
      </c>
      <c r="B348" s="1040">
        <v>75531</v>
      </c>
      <c r="C348" s="1040" t="s">
        <v>558</v>
      </c>
      <c r="D348" s="1040" t="str">
        <f t="shared" si="19"/>
        <v>061901</v>
      </c>
      <c r="E348" s="1040" t="s">
        <v>559</v>
      </c>
      <c r="F348" s="1040" t="str">
        <f>"044"</f>
        <v>044</v>
      </c>
      <c r="G348" s="1040" t="s">
        <v>1380</v>
      </c>
      <c r="H348" s="1041" t="str">
        <f>"999"</f>
        <v>999</v>
      </c>
      <c r="I348" s="1040" t="s">
        <v>586</v>
      </c>
      <c r="J348" s="1040">
        <v>409778</v>
      </c>
      <c r="K348" s="1040"/>
      <c r="L348" s="1040" t="s">
        <v>561</v>
      </c>
      <c r="M348" s="1041"/>
      <c r="N348" s="1041" t="s">
        <v>576</v>
      </c>
      <c r="O348" s="1041" t="s">
        <v>576</v>
      </c>
      <c r="P348" s="1041" t="s">
        <v>576</v>
      </c>
      <c r="Q348" s="1041" t="s">
        <v>576</v>
      </c>
      <c r="R348" s="1040">
        <v>0</v>
      </c>
      <c r="S348" s="1041">
        <v>0</v>
      </c>
      <c r="T348" s="1042"/>
      <c r="U348" s="1042"/>
      <c r="V348" s="1042"/>
      <c r="W348" s="1042">
        <v>25162</v>
      </c>
      <c r="X348" s="1042"/>
      <c r="Y348" s="1042"/>
      <c r="Z348" s="1040"/>
      <c r="AA348" s="1040"/>
      <c r="AB348" s="1040"/>
      <c r="AC348" s="1040"/>
      <c r="AD348" s="1040"/>
      <c r="AE348" s="1041"/>
      <c r="AF348" s="1040"/>
      <c r="AG348" s="1040">
        <v>0</v>
      </c>
      <c r="AH348" s="1040" t="s">
        <v>1383</v>
      </c>
      <c r="AI348" s="1040" t="s">
        <v>594</v>
      </c>
      <c r="AJ348" s="1040" t="s">
        <v>571</v>
      </c>
      <c r="AK348" s="1041">
        <v>76205</v>
      </c>
      <c r="AL348" s="1040"/>
      <c r="AM348" s="1040"/>
      <c r="AN348" s="1040"/>
      <c r="AO348" s="1040">
        <v>0</v>
      </c>
      <c r="AP348" s="1040">
        <v>409778</v>
      </c>
    </row>
    <row r="349" spans="1:42" s="1059" customFormat="1" x14ac:dyDescent="0.3">
      <c r="A349" s="1056"/>
      <c r="B349" s="1056"/>
      <c r="C349" s="1056"/>
      <c r="D349" s="1056"/>
      <c r="E349" s="1056"/>
      <c r="F349" s="1056"/>
      <c r="G349" s="1056"/>
      <c r="H349" s="1057"/>
      <c r="I349" s="1056"/>
      <c r="J349" s="1056"/>
      <c r="K349" s="1056"/>
      <c r="L349" s="1056"/>
      <c r="M349" s="1057"/>
      <c r="N349" s="1057"/>
      <c r="O349" s="1057"/>
      <c r="P349" s="1057"/>
      <c r="Q349" s="1057"/>
      <c r="R349" s="1056"/>
      <c r="S349" s="1057"/>
      <c r="T349" s="1058"/>
      <c r="U349" s="1058"/>
      <c r="V349" s="1058"/>
      <c r="W349" s="1058"/>
      <c r="X349" s="1058"/>
      <c r="Y349" s="1058"/>
      <c r="Z349" s="1056"/>
      <c r="AA349" s="1056"/>
      <c r="AB349" s="1056"/>
      <c r="AC349" s="1056"/>
      <c r="AD349" s="1056"/>
      <c r="AE349" s="1057"/>
      <c r="AF349" s="1056"/>
      <c r="AG349" s="1056"/>
      <c r="AH349" s="1056"/>
      <c r="AI349" s="1056"/>
      <c r="AJ349" s="1056"/>
      <c r="AK349" s="1057"/>
      <c r="AL349" s="1056"/>
      <c r="AM349" s="1056"/>
      <c r="AN349" s="1056"/>
      <c r="AO349" s="1056"/>
      <c r="AP349" s="1056"/>
    </row>
    <row r="350" spans="1:42" s="1059" customFormat="1" x14ac:dyDescent="0.3">
      <c r="A350" s="1060"/>
      <c r="B350" s="1060"/>
      <c r="C350" s="1060"/>
      <c r="D350" s="1060"/>
      <c r="E350" s="1060"/>
      <c r="F350" s="1060"/>
      <c r="G350" s="1060"/>
      <c r="H350" s="1061"/>
      <c r="I350" s="1062" t="s">
        <v>1387</v>
      </c>
      <c r="J350" s="1060"/>
      <c r="K350" s="1060"/>
      <c r="L350" s="1060"/>
      <c r="M350" s="1061"/>
      <c r="N350" s="1061"/>
      <c r="O350" s="1061"/>
      <c r="P350" s="1061"/>
      <c r="Q350" s="1061"/>
      <c r="R350" s="1060"/>
      <c r="S350" s="1061"/>
      <c r="T350" s="1063"/>
      <c r="U350" s="1063"/>
      <c r="V350" s="1063"/>
      <c r="W350" s="1063"/>
      <c r="X350" s="1063"/>
      <c r="Y350" s="1063"/>
      <c r="Z350" s="1060"/>
      <c r="AA350" s="1060"/>
      <c r="AB350" s="1060"/>
      <c r="AC350" s="1060"/>
      <c r="AD350" s="1060"/>
      <c r="AE350" s="1061"/>
      <c r="AF350" s="1060"/>
      <c r="AG350" s="1060"/>
      <c r="AH350" s="1060"/>
      <c r="AI350" s="1060"/>
      <c r="AJ350" s="1060"/>
      <c r="AK350" s="1061"/>
      <c r="AL350" s="1060"/>
      <c r="AM350" s="1060"/>
      <c r="AN350" s="1060"/>
      <c r="AO350" s="1060"/>
      <c r="AP350" s="1060"/>
    </row>
    <row r="351" spans="1:42" x14ac:dyDescent="0.3">
      <c r="A351" s="1040">
        <v>98</v>
      </c>
      <c r="B351" s="1040">
        <v>75531</v>
      </c>
      <c r="C351" s="1040" t="s">
        <v>558</v>
      </c>
      <c r="D351" s="1040" t="str">
        <f t="shared" si="19"/>
        <v>061901</v>
      </c>
      <c r="E351" s="1040" t="s">
        <v>559</v>
      </c>
      <c r="F351" s="1040" t="str">
        <f>"045"</f>
        <v>045</v>
      </c>
      <c r="H351" s="1041" t="str">
        <f>"27A"</f>
        <v>27A</v>
      </c>
      <c r="I351" s="1040" t="s">
        <v>1388</v>
      </c>
      <c r="J351" s="1040">
        <v>409585</v>
      </c>
      <c r="K351" s="1045">
        <v>41404</v>
      </c>
      <c r="L351" s="1040" t="s">
        <v>561</v>
      </c>
      <c r="M351" s="1041">
        <v>2001</v>
      </c>
      <c r="N351" s="1041" t="s">
        <v>562</v>
      </c>
      <c r="O351" s="1041" t="s">
        <v>562</v>
      </c>
      <c r="P351" s="1041" t="s">
        <v>562</v>
      </c>
      <c r="Q351" s="1041" t="s">
        <v>562</v>
      </c>
      <c r="R351" s="1040">
        <v>13</v>
      </c>
      <c r="S351" s="1041">
        <v>1</v>
      </c>
      <c r="T351" s="1042">
        <v>46321</v>
      </c>
      <c r="U351" s="1042">
        <v>7196301</v>
      </c>
      <c r="V351" s="1042">
        <v>1125244</v>
      </c>
      <c r="W351" s="1042"/>
      <c r="X351" s="1042">
        <v>155</v>
      </c>
      <c r="Y351" s="1042">
        <v>24</v>
      </c>
      <c r="Z351" s="1040" t="s">
        <v>563</v>
      </c>
      <c r="AA351" s="1040" t="s">
        <v>1389</v>
      </c>
      <c r="AB351" s="1040" t="s">
        <v>565</v>
      </c>
      <c r="AC351" s="1040" t="s">
        <v>566</v>
      </c>
      <c r="AD351" s="1040" t="s">
        <v>1376</v>
      </c>
      <c r="AE351" s="1041"/>
      <c r="AF351" s="1040" t="s">
        <v>754</v>
      </c>
      <c r="AG351" s="1040">
        <v>0</v>
      </c>
      <c r="AH351" s="1040" t="s">
        <v>1390</v>
      </c>
      <c r="AI351" s="1040" t="s">
        <v>594</v>
      </c>
      <c r="AJ351" s="1040" t="s">
        <v>571</v>
      </c>
      <c r="AK351" s="1041">
        <v>76209</v>
      </c>
      <c r="AL351" s="1040" t="s">
        <v>1391</v>
      </c>
      <c r="AM351" s="1040" t="s">
        <v>1392</v>
      </c>
      <c r="AN351" s="1040" t="s">
        <v>751</v>
      </c>
      <c r="AO351" s="1040">
        <v>6864000</v>
      </c>
      <c r="AP351" s="1040">
        <v>409585</v>
      </c>
    </row>
    <row r="352" spans="1:42" x14ac:dyDescent="0.3">
      <c r="A352" s="1040">
        <v>98</v>
      </c>
      <c r="B352" s="1040">
        <v>75531</v>
      </c>
      <c r="C352" s="1040" t="s">
        <v>558</v>
      </c>
      <c r="D352" s="1040" t="str">
        <f t="shared" si="19"/>
        <v>061901</v>
      </c>
      <c r="E352" s="1040" t="s">
        <v>559</v>
      </c>
      <c r="F352" s="1040" t="str">
        <f>"045"</f>
        <v>045</v>
      </c>
      <c r="G352" s="1040" t="s">
        <v>1387</v>
      </c>
      <c r="H352" s="1041" t="str">
        <f>"27B"</f>
        <v>27B</v>
      </c>
      <c r="I352" s="1040" t="s">
        <v>1393</v>
      </c>
      <c r="J352" s="1040">
        <v>409742</v>
      </c>
      <c r="K352" s="1045">
        <v>41404</v>
      </c>
      <c r="L352" s="1040" t="s">
        <v>561</v>
      </c>
      <c r="M352" s="1041">
        <v>2010</v>
      </c>
      <c r="N352" s="1041" t="s">
        <v>576</v>
      </c>
      <c r="O352" s="1041" t="s">
        <v>576</v>
      </c>
      <c r="P352" s="1041" t="s">
        <v>576</v>
      </c>
      <c r="Q352" s="1041" t="s">
        <v>576</v>
      </c>
      <c r="R352" s="1040">
        <v>7</v>
      </c>
      <c r="S352" s="1041">
        <v>1</v>
      </c>
      <c r="T352" s="1042">
        <v>48</v>
      </c>
      <c r="U352" s="1042">
        <v>1046</v>
      </c>
      <c r="V352" s="1042">
        <v>1013</v>
      </c>
      <c r="W352" s="1042"/>
      <c r="X352" s="1042">
        <v>22</v>
      </c>
      <c r="Y352" s="1042">
        <v>21</v>
      </c>
      <c r="Z352" s="1040" t="s">
        <v>577</v>
      </c>
      <c r="AA352" s="1040" t="s">
        <v>615</v>
      </c>
      <c r="AB352" s="1040" t="s">
        <v>606</v>
      </c>
      <c r="AC352" s="1040" t="s">
        <v>606</v>
      </c>
      <c r="AD352" s="1040" t="s">
        <v>616</v>
      </c>
      <c r="AE352" s="1041"/>
      <c r="AF352" s="1040" t="s">
        <v>582</v>
      </c>
      <c r="AG352" s="1040">
        <v>0</v>
      </c>
      <c r="AH352" s="1040" t="s">
        <v>1390</v>
      </c>
      <c r="AI352" s="1040" t="s">
        <v>594</v>
      </c>
      <c r="AJ352" s="1040" t="s">
        <v>571</v>
      </c>
      <c r="AK352" s="1041">
        <v>76209</v>
      </c>
      <c r="AL352" s="1040" t="s">
        <v>1394</v>
      </c>
      <c r="AM352" s="1040" t="s">
        <v>1395</v>
      </c>
      <c r="AN352" s="1040"/>
      <c r="AO352" s="1040">
        <v>1000</v>
      </c>
      <c r="AP352" s="1040">
        <v>409742</v>
      </c>
    </row>
    <row r="353" spans="1:42" x14ac:dyDescent="0.3">
      <c r="A353" s="1040">
        <v>98</v>
      </c>
      <c r="B353" s="1040">
        <v>75531</v>
      </c>
      <c r="C353" s="1040" t="s">
        <v>558</v>
      </c>
      <c r="D353" s="1040" t="str">
        <f t="shared" si="19"/>
        <v>061901</v>
      </c>
      <c r="E353" s="1040" t="s">
        <v>559</v>
      </c>
      <c r="F353" s="1040" t="str">
        <f>"045"</f>
        <v>045</v>
      </c>
      <c r="G353" s="1040" t="s">
        <v>1387</v>
      </c>
      <c r="H353" s="1041" t="str">
        <f>"27C"</f>
        <v>27C</v>
      </c>
      <c r="I353" s="1040" t="s">
        <v>1396</v>
      </c>
      <c r="J353" s="1040">
        <v>409743</v>
      </c>
      <c r="K353" s="1045">
        <v>41404</v>
      </c>
      <c r="L353" s="1040" t="s">
        <v>561</v>
      </c>
      <c r="M353" s="1041">
        <v>2001</v>
      </c>
      <c r="N353" s="1041" t="s">
        <v>576</v>
      </c>
      <c r="O353" s="1041" t="s">
        <v>576</v>
      </c>
      <c r="P353" s="1041" t="s">
        <v>576</v>
      </c>
      <c r="Q353" s="1041" t="s">
        <v>576</v>
      </c>
      <c r="R353" s="1040">
        <v>9</v>
      </c>
      <c r="S353" s="1041">
        <v>1</v>
      </c>
      <c r="T353" s="1042">
        <v>400</v>
      </c>
      <c r="U353" s="1042">
        <v>10484</v>
      </c>
      <c r="V353" s="1042">
        <v>0</v>
      </c>
      <c r="W353" s="1042"/>
      <c r="X353" s="1042">
        <v>26</v>
      </c>
      <c r="Y353" s="1042">
        <v>0</v>
      </c>
      <c r="Z353" s="1040" t="s">
        <v>611</v>
      </c>
      <c r="AA353" s="1040" t="s">
        <v>606</v>
      </c>
      <c r="AB353" s="1040" t="s">
        <v>606</v>
      </c>
      <c r="AC353" s="1040" t="s">
        <v>606</v>
      </c>
      <c r="AD353" s="1040" t="s">
        <v>581</v>
      </c>
      <c r="AE353" s="1054"/>
      <c r="AF353" s="1040" t="s">
        <v>582</v>
      </c>
      <c r="AG353" s="1040">
        <v>0</v>
      </c>
      <c r="AH353" s="1040" t="s">
        <v>1390</v>
      </c>
      <c r="AI353" s="1040" t="s">
        <v>594</v>
      </c>
      <c r="AJ353" s="1040" t="s">
        <v>571</v>
      </c>
      <c r="AK353" s="1041">
        <v>76209</v>
      </c>
      <c r="AL353" s="1040" t="s">
        <v>1397</v>
      </c>
      <c r="AM353" s="1040" t="s">
        <v>1398</v>
      </c>
      <c r="AN353" s="1040"/>
      <c r="AO353" s="1040">
        <v>10000</v>
      </c>
      <c r="AP353" s="1040">
        <v>409743</v>
      </c>
    </row>
    <row r="354" spans="1:42" x14ac:dyDescent="0.3">
      <c r="A354" s="1040">
        <v>98</v>
      </c>
      <c r="B354" s="1040">
        <v>75531</v>
      </c>
      <c r="C354" s="1040" t="s">
        <v>558</v>
      </c>
      <c r="D354" s="1040" t="str">
        <f t="shared" si="19"/>
        <v>061901</v>
      </c>
      <c r="E354" s="1040" t="s">
        <v>559</v>
      </c>
      <c r="F354" s="1040" t="str">
        <f>"045"</f>
        <v>045</v>
      </c>
      <c r="G354" s="1040" t="s">
        <v>1387</v>
      </c>
      <c r="H354" s="1041" t="str">
        <f>"999"</f>
        <v>999</v>
      </c>
      <c r="I354" s="1040" t="s">
        <v>586</v>
      </c>
      <c r="J354" s="1040">
        <v>409786</v>
      </c>
      <c r="K354" s="1040"/>
      <c r="L354" s="1040" t="s">
        <v>561</v>
      </c>
      <c r="M354" s="1041"/>
      <c r="N354" s="1041" t="s">
        <v>576</v>
      </c>
      <c r="O354" s="1041" t="s">
        <v>576</v>
      </c>
      <c r="P354" s="1041" t="s">
        <v>576</v>
      </c>
      <c r="Q354" s="1041" t="s">
        <v>576</v>
      </c>
      <c r="R354" s="1040">
        <v>0</v>
      </c>
      <c r="S354" s="1041">
        <v>0</v>
      </c>
      <c r="T354" s="1042"/>
      <c r="U354" s="1042"/>
      <c r="V354" s="1042"/>
      <c r="W354" s="1042">
        <v>137342</v>
      </c>
      <c r="X354" s="1042"/>
      <c r="Y354" s="1042"/>
      <c r="Z354" s="1040"/>
      <c r="AA354" s="1040"/>
      <c r="AB354" s="1040"/>
      <c r="AC354" s="1040"/>
      <c r="AD354" s="1040"/>
      <c r="AE354" s="1041"/>
      <c r="AF354" s="1040"/>
      <c r="AG354" s="1040">
        <v>0</v>
      </c>
      <c r="AH354" s="1040" t="s">
        <v>1390</v>
      </c>
      <c r="AI354" s="1040" t="s">
        <v>594</v>
      </c>
      <c r="AJ354" s="1040" t="s">
        <v>571</v>
      </c>
      <c r="AK354" s="1041">
        <v>76209</v>
      </c>
      <c r="AL354" s="1040"/>
      <c r="AM354" s="1040"/>
      <c r="AN354" s="1040"/>
      <c r="AO354" s="1040">
        <v>0</v>
      </c>
      <c r="AP354" s="1040">
        <v>409786</v>
      </c>
    </row>
    <row r="355" spans="1:42" s="1059" customFormat="1" x14ac:dyDescent="0.3">
      <c r="A355" s="1056"/>
      <c r="B355" s="1056"/>
      <c r="C355" s="1056"/>
      <c r="D355" s="1056"/>
      <c r="E355" s="1056"/>
      <c r="F355" s="1056"/>
      <c r="G355" s="1056"/>
      <c r="H355" s="1057"/>
      <c r="I355" s="1056"/>
      <c r="J355" s="1056"/>
      <c r="K355" s="1056"/>
      <c r="L355" s="1056"/>
      <c r="M355" s="1057"/>
      <c r="N355" s="1057"/>
      <c r="O355" s="1057"/>
      <c r="P355" s="1057"/>
      <c r="Q355" s="1057"/>
      <c r="R355" s="1056"/>
      <c r="S355" s="1057"/>
      <c r="T355" s="1058"/>
      <c r="U355" s="1058"/>
      <c r="V355" s="1058"/>
      <c r="W355" s="1058"/>
      <c r="X355" s="1058"/>
      <c r="Y355" s="1058"/>
      <c r="Z355" s="1056"/>
      <c r="AA355" s="1056"/>
      <c r="AB355" s="1056"/>
      <c r="AC355" s="1056"/>
      <c r="AD355" s="1056"/>
      <c r="AE355" s="1057"/>
      <c r="AF355" s="1056"/>
      <c r="AG355" s="1056"/>
      <c r="AH355" s="1056"/>
      <c r="AI355" s="1056"/>
      <c r="AJ355" s="1056"/>
      <c r="AK355" s="1057"/>
      <c r="AL355" s="1056"/>
      <c r="AM355" s="1056"/>
      <c r="AN355" s="1056"/>
      <c r="AO355" s="1056"/>
      <c r="AP355" s="1056"/>
    </row>
    <row r="356" spans="1:42" s="1059" customFormat="1" x14ac:dyDescent="0.3">
      <c r="A356" s="1060"/>
      <c r="B356" s="1060"/>
      <c r="C356" s="1060"/>
      <c r="D356" s="1060"/>
      <c r="E356" s="1060"/>
      <c r="F356" s="1060"/>
      <c r="G356" s="1060"/>
      <c r="H356" s="1061"/>
      <c r="I356" s="1062" t="s">
        <v>1399</v>
      </c>
      <c r="J356" s="1060"/>
      <c r="K356" s="1060"/>
      <c r="L356" s="1060"/>
      <c r="M356" s="1061"/>
      <c r="N356" s="1061"/>
      <c r="O356" s="1061"/>
      <c r="P356" s="1061"/>
      <c r="Q356" s="1061"/>
      <c r="R356" s="1060"/>
      <c r="S356" s="1061"/>
      <c r="T356" s="1063"/>
      <c r="U356" s="1063"/>
      <c r="V356" s="1063"/>
      <c r="W356" s="1063"/>
      <c r="X356" s="1063"/>
      <c r="Y356" s="1063"/>
      <c r="Z356" s="1060"/>
      <c r="AA356" s="1060"/>
      <c r="AB356" s="1060"/>
      <c r="AC356" s="1060"/>
      <c r="AD356" s="1060"/>
      <c r="AE356" s="1061"/>
      <c r="AF356" s="1060"/>
      <c r="AG356" s="1060"/>
      <c r="AH356" s="1060"/>
      <c r="AI356" s="1060"/>
      <c r="AJ356" s="1060"/>
      <c r="AK356" s="1061"/>
      <c r="AL356" s="1060"/>
      <c r="AM356" s="1060"/>
      <c r="AN356" s="1060"/>
      <c r="AO356" s="1060"/>
      <c r="AP356" s="1060"/>
    </row>
    <row r="357" spans="1:42" x14ac:dyDescent="0.3">
      <c r="A357" s="1040">
        <v>98</v>
      </c>
      <c r="B357" s="1040">
        <v>75531</v>
      </c>
      <c r="C357" s="1040" t="s">
        <v>558</v>
      </c>
      <c r="D357" s="1040" t="str">
        <f t="shared" si="19"/>
        <v>061901</v>
      </c>
      <c r="E357" s="1040" t="s">
        <v>559</v>
      </c>
      <c r="F357" s="1040" t="str">
        <f>"046"</f>
        <v>046</v>
      </c>
      <c r="H357" s="1041" t="str">
        <f>"46A"</f>
        <v>46A</v>
      </c>
      <c r="I357" s="1040" t="s">
        <v>1400</v>
      </c>
      <c r="J357" s="1040">
        <v>409518</v>
      </c>
      <c r="K357" s="1045">
        <v>41402</v>
      </c>
      <c r="L357" s="1040" t="s">
        <v>561</v>
      </c>
      <c r="M357" s="1041">
        <v>2008</v>
      </c>
      <c r="N357" s="1041" t="s">
        <v>562</v>
      </c>
      <c r="O357" s="1041" t="s">
        <v>576</v>
      </c>
      <c r="P357" s="1041" t="s">
        <v>576</v>
      </c>
      <c r="Q357" s="1041" t="s">
        <v>576</v>
      </c>
      <c r="R357" s="1040">
        <v>15</v>
      </c>
      <c r="S357" s="1041">
        <v>1</v>
      </c>
      <c r="T357" s="1042">
        <v>8080</v>
      </c>
      <c r="U357" s="1042">
        <v>1209868</v>
      </c>
      <c r="V357" s="1042">
        <v>157391</v>
      </c>
      <c r="W357" s="1042"/>
      <c r="X357" s="1042">
        <v>150</v>
      </c>
      <c r="Y357" s="1042">
        <v>19</v>
      </c>
      <c r="Z357" s="1040" t="s">
        <v>563</v>
      </c>
      <c r="AA357" s="1040" t="s">
        <v>1401</v>
      </c>
      <c r="AB357" s="1040" t="s">
        <v>565</v>
      </c>
      <c r="AC357" s="1040" t="s">
        <v>566</v>
      </c>
      <c r="AD357" s="1040" t="s">
        <v>591</v>
      </c>
      <c r="AE357" s="1041"/>
      <c r="AF357" s="1040" t="s">
        <v>592</v>
      </c>
      <c r="AG357" s="1040">
        <v>0</v>
      </c>
      <c r="AH357" s="1040" t="s">
        <v>1402</v>
      </c>
      <c r="AI357" s="1040" t="s">
        <v>594</v>
      </c>
      <c r="AJ357" s="1040" t="s">
        <v>571</v>
      </c>
      <c r="AK357" s="1041">
        <v>76209</v>
      </c>
      <c r="AL357" s="1040" t="s">
        <v>1403</v>
      </c>
      <c r="AM357" s="1040" t="s">
        <v>1404</v>
      </c>
      <c r="AN357" s="1040" t="s">
        <v>751</v>
      </c>
      <c r="AO357" s="1040">
        <v>1154000</v>
      </c>
      <c r="AP357" s="1040">
        <v>409518</v>
      </c>
    </row>
    <row r="358" spans="1:42" x14ac:dyDescent="0.3">
      <c r="A358" s="1040">
        <v>98</v>
      </c>
      <c r="B358" s="1040">
        <v>75531</v>
      </c>
      <c r="C358" s="1040" t="s">
        <v>558</v>
      </c>
      <c r="D358" s="1040" t="str">
        <f t="shared" si="19"/>
        <v>061901</v>
      </c>
      <c r="E358" s="1040" t="s">
        <v>559</v>
      </c>
      <c r="F358" s="1040" t="str">
        <f>"046"</f>
        <v>046</v>
      </c>
      <c r="G358" s="1040" t="s">
        <v>1399</v>
      </c>
      <c r="H358" s="1041" t="str">
        <f>"46B"</f>
        <v>46B</v>
      </c>
      <c r="I358" s="1040" t="s">
        <v>783</v>
      </c>
      <c r="J358" s="1040">
        <v>409744</v>
      </c>
      <c r="K358" s="1045">
        <v>41402</v>
      </c>
      <c r="L358" s="1040" t="s">
        <v>561</v>
      </c>
      <c r="M358" s="1041">
        <v>2012</v>
      </c>
      <c r="N358" s="1041" t="s">
        <v>576</v>
      </c>
      <c r="O358" s="1041" t="s">
        <v>576</v>
      </c>
      <c r="P358" s="1041" t="s">
        <v>576</v>
      </c>
      <c r="Q358" s="1041" t="s">
        <v>576</v>
      </c>
      <c r="R358" s="1040">
        <v>7</v>
      </c>
      <c r="S358" s="1041">
        <v>1</v>
      </c>
      <c r="T358" s="1042">
        <v>110</v>
      </c>
      <c r="U358" s="1042">
        <v>2092</v>
      </c>
      <c r="V358" s="1042">
        <v>1013</v>
      </c>
      <c r="W358" s="1042"/>
      <c r="X358" s="1042">
        <v>19</v>
      </c>
      <c r="Y358" s="1042">
        <v>9</v>
      </c>
      <c r="Z358" s="1040" t="s">
        <v>577</v>
      </c>
      <c r="AA358" s="1040" t="s">
        <v>615</v>
      </c>
      <c r="AB358" s="1040" t="s">
        <v>606</v>
      </c>
      <c r="AC358" s="1040" t="s">
        <v>606</v>
      </c>
      <c r="AD358" s="1040" t="s">
        <v>616</v>
      </c>
      <c r="AE358" s="1041"/>
      <c r="AF358" s="1040" t="s">
        <v>582</v>
      </c>
      <c r="AG358" s="1040">
        <v>0</v>
      </c>
      <c r="AH358" s="1040" t="s">
        <v>1402</v>
      </c>
      <c r="AI358" s="1040" t="s">
        <v>594</v>
      </c>
      <c r="AJ358" s="1040" t="s">
        <v>571</v>
      </c>
      <c r="AK358" s="1041">
        <v>76209</v>
      </c>
      <c r="AL358" s="1040" t="s">
        <v>1405</v>
      </c>
      <c r="AM358" s="1040" t="s">
        <v>1406</v>
      </c>
      <c r="AN358" s="1040"/>
      <c r="AO358" s="1040">
        <v>2000</v>
      </c>
      <c r="AP358" s="1040">
        <v>409744</v>
      </c>
    </row>
    <row r="359" spans="1:42" x14ac:dyDescent="0.3">
      <c r="A359" s="1040">
        <v>98</v>
      </c>
      <c r="B359" s="1040">
        <v>75531</v>
      </c>
      <c r="C359" s="1040" t="s">
        <v>558</v>
      </c>
      <c r="D359" s="1040" t="str">
        <f t="shared" si="19"/>
        <v>061901</v>
      </c>
      <c r="E359" s="1040" t="s">
        <v>559</v>
      </c>
      <c r="F359" s="1040" t="str">
        <f>"046"</f>
        <v>046</v>
      </c>
      <c r="G359" s="1040" t="s">
        <v>1399</v>
      </c>
      <c r="H359" s="1041" t="str">
        <f>"999"</f>
        <v>999</v>
      </c>
      <c r="I359" s="1040" t="s">
        <v>586</v>
      </c>
      <c r="J359" s="1040">
        <v>409747</v>
      </c>
      <c r="K359" s="1040"/>
      <c r="L359" s="1040" t="s">
        <v>561</v>
      </c>
      <c r="M359" s="1041"/>
      <c r="N359" s="1041" t="s">
        <v>576</v>
      </c>
      <c r="O359" s="1041" t="s">
        <v>576</v>
      </c>
      <c r="P359" s="1041" t="s">
        <v>576</v>
      </c>
      <c r="Q359" s="1041" t="s">
        <v>576</v>
      </c>
      <c r="R359" s="1040">
        <v>0</v>
      </c>
      <c r="S359" s="1041">
        <v>0</v>
      </c>
      <c r="T359" s="1042"/>
      <c r="U359" s="1042"/>
      <c r="V359" s="1042"/>
      <c r="W359" s="1042">
        <v>134197</v>
      </c>
      <c r="X359" s="1042"/>
      <c r="Y359" s="1042"/>
      <c r="Z359" s="1040"/>
      <c r="AA359" s="1040"/>
      <c r="AB359" s="1040"/>
      <c r="AC359" s="1040"/>
      <c r="AD359" s="1040"/>
      <c r="AE359" s="1041"/>
      <c r="AF359" s="1040"/>
      <c r="AG359" s="1040">
        <v>0</v>
      </c>
      <c r="AH359" s="1040" t="s">
        <v>1402</v>
      </c>
      <c r="AI359" s="1040" t="s">
        <v>594</v>
      </c>
      <c r="AJ359" s="1040" t="s">
        <v>571</v>
      </c>
      <c r="AK359" s="1041">
        <v>76209</v>
      </c>
      <c r="AL359" s="1040"/>
      <c r="AM359" s="1040"/>
      <c r="AN359" s="1040"/>
      <c r="AO359" s="1040">
        <v>0</v>
      </c>
      <c r="AP359" s="1040">
        <v>409747</v>
      </c>
    </row>
    <row r="360" spans="1:42" s="1059" customFormat="1" x14ac:dyDescent="0.3">
      <c r="A360" s="1056"/>
      <c r="B360" s="1056"/>
      <c r="C360" s="1056"/>
      <c r="D360" s="1056"/>
      <c r="E360" s="1056"/>
      <c r="F360" s="1056"/>
      <c r="G360" s="1056"/>
      <c r="H360" s="1057"/>
      <c r="I360" s="1056"/>
      <c r="J360" s="1056"/>
      <c r="K360" s="1056"/>
      <c r="L360" s="1056"/>
      <c r="M360" s="1057"/>
      <c r="N360" s="1057"/>
      <c r="O360" s="1057"/>
      <c r="P360" s="1057"/>
      <c r="Q360" s="1057"/>
      <c r="R360" s="1056"/>
      <c r="S360" s="1057"/>
      <c r="T360" s="1058"/>
      <c r="U360" s="1058"/>
      <c r="V360" s="1058"/>
      <c r="W360" s="1058"/>
      <c r="X360" s="1058"/>
      <c r="Y360" s="1058"/>
      <c r="Z360" s="1056"/>
      <c r="AA360" s="1056"/>
      <c r="AB360" s="1056"/>
      <c r="AC360" s="1056"/>
      <c r="AD360" s="1056"/>
      <c r="AE360" s="1057"/>
      <c r="AF360" s="1056"/>
      <c r="AG360" s="1056"/>
      <c r="AH360" s="1056"/>
      <c r="AI360" s="1056"/>
      <c r="AJ360" s="1056"/>
      <c r="AK360" s="1057"/>
      <c r="AL360" s="1056"/>
      <c r="AM360" s="1056"/>
      <c r="AN360" s="1056"/>
      <c r="AO360" s="1056"/>
      <c r="AP360" s="1056"/>
    </row>
    <row r="361" spans="1:42" s="1059" customFormat="1" x14ac:dyDescent="0.3">
      <c r="A361" s="1060"/>
      <c r="B361" s="1060"/>
      <c r="C361" s="1060"/>
      <c r="D361" s="1060"/>
      <c r="E361" s="1060"/>
      <c r="F361" s="1060"/>
      <c r="G361" s="1060"/>
      <c r="H361" s="1061"/>
      <c r="I361" s="1062" t="s">
        <v>1407</v>
      </c>
      <c r="J361" s="1060"/>
      <c r="K361" s="1060"/>
      <c r="L361" s="1060"/>
      <c r="M361" s="1061"/>
      <c r="N361" s="1061"/>
      <c r="O361" s="1061"/>
      <c r="P361" s="1061"/>
      <c r="Q361" s="1061"/>
      <c r="R361" s="1060"/>
      <c r="S361" s="1061"/>
      <c r="T361" s="1063"/>
      <c r="U361" s="1063"/>
      <c r="V361" s="1063"/>
      <c r="W361" s="1063"/>
      <c r="X361" s="1063"/>
      <c r="Y361" s="1063"/>
      <c r="Z361" s="1060"/>
      <c r="AA361" s="1060"/>
      <c r="AB361" s="1060"/>
      <c r="AC361" s="1060"/>
      <c r="AD361" s="1060"/>
      <c r="AE361" s="1061"/>
      <c r="AF361" s="1060"/>
      <c r="AG361" s="1060"/>
      <c r="AH361" s="1060"/>
      <c r="AI361" s="1060"/>
      <c r="AJ361" s="1060"/>
      <c r="AK361" s="1061"/>
      <c r="AL361" s="1060"/>
      <c r="AM361" s="1060"/>
      <c r="AN361" s="1060"/>
      <c r="AO361" s="1060"/>
      <c r="AP361" s="1060"/>
    </row>
    <row r="362" spans="1:42" x14ac:dyDescent="0.3">
      <c r="A362" s="1040">
        <v>98</v>
      </c>
      <c r="B362" s="1040">
        <v>75531</v>
      </c>
      <c r="C362" s="1040" t="s">
        <v>558</v>
      </c>
      <c r="D362" s="1040" t="str">
        <f t="shared" si="19"/>
        <v>061901</v>
      </c>
      <c r="E362" s="1040" t="s">
        <v>559</v>
      </c>
      <c r="F362" s="1040" t="str">
        <f>"047"</f>
        <v>047</v>
      </c>
      <c r="H362" s="1041" t="str">
        <f>"16E"</f>
        <v>16E</v>
      </c>
      <c r="I362" s="1040" t="s">
        <v>1408</v>
      </c>
      <c r="J362" s="1040">
        <v>409573</v>
      </c>
      <c r="K362" s="1045">
        <v>41404</v>
      </c>
      <c r="L362" s="1040" t="s">
        <v>561</v>
      </c>
      <c r="M362" s="1041">
        <v>1964</v>
      </c>
      <c r="N362" s="1041" t="s">
        <v>562</v>
      </c>
      <c r="O362" s="1041" t="s">
        <v>576</v>
      </c>
      <c r="P362" s="1041" t="s">
        <v>576</v>
      </c>
      <c r="Q362" s="1041" t="s">
        <v>576</v>
      </c>
      <c r="R362" s="1040">
        <v>12</v>
      </c>
      <c r="S362" s="1041">
        <v>1</v>
      </c>
      <c r="T362" s="1042">
        <v>5000</v>
      </c>
      <c r="U362" s="1042">
        <v>210731</v>
      </c>
      <c r="V362" s="1042">
        <v>62343</v>
      </c>
      <c r="W362" s="1042"/>
      <c r="X362" s="1042">
        <v>42</v>
      </c>
      <c r="Y362" s="1042">
        <v>12</v>
      </c>
      <c r="Z362" s="1040" t="s">
        <v>611</v>
      </c>
      <c r="AA362" s="1040" t="s">
        <v>612</v>
      </c>
      <c r="AB362" s="1040" t="s">
        <v>606</v>
      </c>
      <c r="AC362" s="1040" t="s">
        <v>606</v>
      </c>
      <c r="AD362" s="1040" t="s">
        <v>581</v>
      </c>
      <c r="AE362" s="1054"/>
      <c r="AF362" s="1040" t="s">
        <v>582</v>
      </c>
      <c r="AG362" s="1040">
        <v>0</v>
      </c>
      <c r="AH362" s="1040" t="s">
        <v>1409</v>
      </c>
      <c r="AI362" s="1040" t="s">
        <v>594</v>
      </c>
      <c r="AJ362" s="1040" t="s">
        <v>571</v>
      </c>
      <c r="AK362" s="1041">
        <v>76201</v>
      </c>
      <c r="AL362" s="1040" t="s">
        <v>1410</v>
      </c>
      <c r="AM362" s="1040" t="s">
        <v>1411</v>
      </c>
      <c r="AN362" s="1040" t="s">
        <v>664</v>
      </c>
      <c r="AO362" s="1040">
        <v>201000</v>
      </c>
      <c r="AP362" s="1040">
        <v>409573</v>
      </c>
    </row>
    <row r="363" spans="1:42" x14ac:dyDescent="0.3">
      <c r="A363" s="1040">
        <v>98</v>
      </c>
      <c r="B363" s="1040">
        <v>75531</v>
      </c>
      <c r="C363" s="1040" t="s">
        <v>558</v>
      </c>
      <c r="D363" s="1040" t="str">
        <f t="shared" si="19"/>
        <v>061901</v>
      </c>
      <c r="E363" s="1040" t="s">
        <v>559</v>
      </c>
      <c r="F363" s="1040" t="str">
        <f>"049"</f>
        <v>049</v>
      </c>
      <c r="G363" s="1040" t="s">
        <v>1412</v>
      </c>
      <c r="H363" s="1041" t="str">
        <f>"43A"</f>
        <v>43A</v>
      </c>
      <c r="I363" s="1040" t="s">
        <v>560</v>
      </c>
      <c r="J363" s="1040">
        <v>409537</v>
      </c>
      <c r="K363" s="1045">
        <v>41396</v>
      </c>
      <c r="L363" s="1040" t="s">
        <v>561</v>
      </c>
      <c r="M363" s="1041">
        <v>2008</v>
      </c>
      <c r="N363" s="1041" t="s">
        <v>562</v>
      </c>
      <c r="O363" s="1041" t="s">
        <v>562</v>
      </c>
      <c r="P363" s="1041" t="s">
        <v>562</v>
      </c>
      <c r="Q363" s="1041" t="s">
        <v>562</v>
      </c>
      <c r="R363" s="1040">
        <v>15</v>
      </c>
      <c r="S363" s="1041">
        <v>1</v>
      </c>
      <c r="T363" s="1042">
        <v>77284</v>
      </c>
      <c r="U363" s="1042">
        <v>13791862</v>
      </c>
      <c r="V363" s="1042">
        <v>1876428</v>
      </c>
      <c r="W363" s="1042"/>
      <c r="X363" s="1042">
        <v>178</v>
      </c>
      <c r="Y363" s="1042">
        <v>24</v>
      </c>
      <c r="Z363" s="1040" t="s">
        <v>563</v>
      </c>
      <c r="AA363" s="1040" t="s">
        <v>693</v>
      </c>
      <c r="AB363" s="1040" t="s">
        <v>565</v>
      </c>
      <c r="AC363" s="1040" t="s">
        <v>566</v>
      </c>
      <c r="AD363" s="1040" t="s">
        <v>591</v>
      </c>
      <c r="AE363" s="1041"/>
      <c r="AF363" s="1040" t="s">
        <v>592</v>
      </c>
      <c r="AG363" s="1040">
        <v>0</v>
      </c>
      <c r="AH363" s="1040" t="s">
        <v>1413</v>
      </c>
      <c r="AI363" s="1040" t="s">
        <v>1047</v>
      </c>
      <c r="AJ363" s="1040" t="s">
        <v>571</v>
      </c>
      <c r="AK363" s="1041">
        <v>76226</v>
      </c>
      <c r="AL363" s="1040" t="s">
        <v>1414</v>
      </c>
      <c r="AM363" s="1040" t="s">
        <v>1415</v>
      </c>
      <c r="AN363" s="1040" t="s">
        <v>1416</v>
      </c>
      <c r="AO363" s="1040">
        <v>13155000</v>
      </c>
      <c r="AP363" s="1040">
        <v>409537</v>
      </c>
    </row>
    <row r="364" spans="1:42" x14ac:dyDescent="0.3">
      <c r="A364" s="1040">
        <v>98</v>
      </c>
      <c r="B364" s="1040">
        <v>75531</v>
      </c>
      <c r="C364" s="1040" t="s">
        <v>558</v>
      </c>
      <c r="D364" s="1040" t="str">
        <f t="shared" si="19"/>
        <v>061901</v>
      </c>
      <c r="E364" s="1040" t="s">
        <v>559</v>
      </c>
      <c r="F364" s="1040" t="str">
        <f>"049"</f>
        <v>049</v>
      </c>
      <c r="G364" s="1040" t="s">
        <v>1412</v>
      </c>
      <c r="H364" s="1041" t="str">
        <f>"999"</f>
        <v>999</v>
      </c>
      <c r="I364" s="1040" t="s">
        <v>586</v>
      </c>
      <c r="J364" s="1040">
        <v>409764</v>
      </c>
      <c r="K364" s="1040"/>
      <c r="L364" s="1040" t="s">
        <v>561</v>
      </c>
      <c r="M364" s="1041"/>
      <c r="N364" s="1041" t="s">
        <v>576</v>
      </c>
      <c r="O364" s="1041" t="s">
        <v>576</v>
      </c>
      <c r="P364" s="1041" t="s">
        <v>576</v>
      </c>
      <c r="Q364" s="1041" t="s">
        <v>576</v>
      </c>
      <c r="R364" s="1040">
        <v>0</v>
      </c>
      <c r="S364" s="1041">
        <v>0</v>
      </c>
      <c r="T364" s="1042"/>
      <c r="U364" s="1042"/>
      <c r="V364" s="1042"/>
      <c r="W364" s="1042">
        <v>263152</v>
      </c>
      <c r="X364" s="1042"/>
      <c r="Y364" s="1042"/>
      <c r="Z364" s="1040"/>
      <c r="AA364" s="1040"/>
      <c r="AB364" s="1040"/>
      <c r="AC364" s="1040"/>
      <c r="AD364" s="1040"/>
      <c r="AE364" s="1041"/>
      <c r="AF364" s="1040"/>
      <c r="AG364" s="1040">
        <v>0</v>
      </c>
      <c r="AH364" s="1040" t="s">
        <v>1413</v>
      </c>
      <c r="AI364" s="1040" t="s">
        <v>1047</v>
      </c>
      <c r="AJ364" s="1040" t="s">
        <v>571</v>
      </c>
      <c r="AK364" s="1041">
        <v>76226</v>
      </c>
      <c r="AL364" s="1040"/>
      <c r="AM364" s="1040"/>
      <c r="AN364" s="1040"/>
      <c r="AO364" s="1040">
        <v>0</v>
      </c>
      <c r="AP364" s="1040">
        <v>409764</v>
      </c>
    </row>
    <row r="365" spans="1:42" s="1059" customFormat="1" x14ac:dyDescent="0.3">
      <c r="A365" s="1056"/>
      <c r="B365" s="1056"/>
      <c r="C365" s="1056"/>
      <c r="D365" s="1056"/>
      <c r="E365" s="1056"/>
      <c r="F365" s="1056"/>
      <c r="G365" s="1056"/>
      <c r="H365" s="1057"/>
      <c r="I365" s="1056"/>
      <c r="J365" s="1056"/>
      <c r="K365" s="1056"/>
      <c r="L365" s="1056"/>
      <c r="M365" s="1057"/>
      <c r="N365" s="1057"/>
      <c r="O365" s="1057"/>
      <c r="P365" s="1057"/>
      <c r="Q365" s="1057"/>
      <c r="R365" s="1056"/>
      <c r="S365" s="1057"/>
      <c r="T365" s="1058"/>
      <c r="U365" s="1058"/>
      <c r="V365" s="1058"/>
      <c r="W365" s="1058"/>
      <c r="X365" s="1058"/>
      <c r="Y365" s="1058"/>
      <c r="Z365" s="1056"/>
      <c r="AA365" s="1056"/>
      <c r="AB365" s="1056"/>
      <c r="AC365" s="1056"/>
      <c r="AD365" s="1056"/>
      <c r="AE365" s="1057"/>
      <c r="AF365" s="1056"/>
      <c r="AG365" s="1056"/>
      <c r="AH365" s="1056"/>
      <c r="AI365" s="1056"/>
      <c r="AJ365" s="1056"/>
      <c r="AK365" s="1057"/>
      <c r="AL365" s="1056"/>
      <c r="AM365" s="1056"/>
      <c r="AN365" s="1056"/>
      <c r="AO365" s="1056"/>
      <c r="AP365" s="1056"/>
    </row>
    <row r="366" spans="1:42" s="1059" customFormat="1" x14ac:dyDescent="0.3">
      <c r="A366" s="1060"/>
      <c r="B366" s="1060"/>
      <c r="C366" s="1060"/>
      <c r="D366" s="1060"/>
      <c r="E366" s="1060"/>
      <c r="F366" s="1060"/>
      <c r="G366" s="1060"/>
      <c r="H366" s="1061"/>
      <c r="I366" s="1062" t="s">
        <v>1417</v>
      </c>
      <c r="J366" s="1060"/>
      <c r="K366" s="1060"/>
      <c r="L366" s="1060"/>
      <c r="M366" s="1061"/>
      <c r="N366" s="1061"/>
      <c r="O366" s="1061"/>
      <c r="P366" s="1061"/>
      <c r="Q366" s="1061"/>
      <c r="R366" s="1060"/>
      <c r="S366" s="1061"/>
      <c r="T366" s="1063"/>
      <c r="U366" s="1063"/>
      <c r="V366" s="1063"/>
      <c r="W366" s="1063"/>
      <c r="X366" s="1063"/>
      <c r="Y366" s="1063"/>
      <c r="Z366" s="1060"/>
      <c r="AA366" s="1060"/>
      <c r="AB366" s="1060"/>
      <c r="AC366" s="1060"/>
      <c r="AD366" s="1060"/>
      <c r="AE366" s="1061"/>
      <c r="AF366" s="1060"/>
      <c r="AG366" s="1060"/>
      <c r="AH366" s="1060"/>
      <c r="AI366" s="1060"/>
      <c r="AJ366" s="1060"/>
      <c r="AK366" s="1061"/>
      <c r="AL366" s="1060"/>
      <c r="AM366" s="1060"/>
      <c r="AN366" s="1060"/>
      <c r="AO366" s="1060"/>
      <c r="AP366" s="1060"/>
    </row>
    <row r="367" spans="1:42" x14ac:dyDescent="0.3">
      <c r="A367" s="1040">
        <v>98</v>
      </c>
      <c r="B367" s="1040">
        <v>75531</v>
      </c>
      <c r="C367" s="1040" t="s">
        <v>558</v>
      </c>
      <c r="D367" s="1040" t="str">
        <f t="shared" si="19"/>
        <v>061901</v>
      </c>
      <c r="E367" s="1040" t="s">
        <v>559</v>
      </c>
      <c r="F367" s="1040" t="str">
        <f>"050"</f>
        <v>050</v>
      </c>
      <c r="H367" s="1041" t="str">
        <f>"44A"</f>
        <v>44A</v>
      </c>
      <c r="I367" s="1040" t="s">
        <v>901</v>
      </c>
      <c r="J367" s="1040">
        <v>409546</v>
      </c>
      <c r="K367" s="1045">
        <v>41396</v>
      </c>
      <c r="L367" s="1040" t="s">
        <v>561</v>
      </c>
      <c r="M367" s="1041">
        <v>2008</v>
      </c>
      <c r="N367" s="1041" t="s">
        <v>562</v>
      </c>
      <c r="O367" s="1041" t="s">
        <v>562</v>
      </c>
      <c r="P367" s="1041" t="s">
        <v>562</v>
      </c>
      <c r="Q367" s="1041" t="s">
        <v>562</v>
      </c>
      <c r="R367" s="1040">
        <v>18</v>
      </c>
      <c r="S367" s="1041">
        <v>2</v>
      </c>
      <c r="T367" s="1042">
        <v>163663</v>
      </c>
      <c r="U367" s="1042">
        <v>24502441</v>
      </c>
      <c r="V367" s="1042">
        <v>2743102</v>
      </c>
      <c r="W367" s="1042"/>
      <c r="X367" s="1042">
        <v>150</v>
      </c>
      <c r="Y367" s="1042">
        <v>17</v>
      </c>
      <c r="Z367" s="1040" t="s">
        <v>563</v>
      </c>
      <c r="AA367" s="1040" t="s">
        <v>1276</v>
      </c>
      <c r="AB367" s="1040" t="s">
        <v>637</v>
      </c>
      <c r="AC367" s="1040" t="s">
        <v>638</v>
      </c>
      <c r="AD367" s="1040" t="s">
        <v>1277</v>
      </c>
      <c r="AE367" s="1041"/>
      <c r="AF367" s="1040" t="s">
        <v>908</v>
      </c>
      <c r="AG367" s="1040">
        <v>0</v>
      </c>
      <c r="AH367" s="1040" t="s">
        <v>1418</v>
      </c>
      <c r="AI367" s="1040" t="s">
        <v>1047</v>
      </c>
      <c r="AJ367" s="1040" t="s">
        <v>571</v>
      </c>
      <c r="AK367" s="1041">
        <v>76226</v>
      </c>
      <c r="AL367" s="1040" t="s">
        <v>1419</v>
      </c>
      <c r="AM367" s="1040" t="s">
        <v>1420</v>
      </c>
      <c r="AN367" s="1040" t="s">
        <v>1421</v>
      </c>
      <c r="AO367" s="1040">
        <v>23371000</v>
      </c>
      <c r="AP367" s="1040">
        <v>409546</v>
      </c>
    </row>
    <row r="368" spans="1:42" x14ac:dyDescent="0.3">
      <c r="A368" s="1040">
        <v>98</v>
      </c>
      <c r="B368" s="1040">
        <v>75531</v>
      </c>
      <c r="C368" s="1040" t="s">
        <v>558</v>
      </c>
      <c r="D368" s="1040" t="str">
        <f t="shared" si="19"/>
        <v>061901</v>
      </c>
      <c r="E368" s="1040" t="s">
        <v>559</v>
      </c>
      <c r="F368" s="1040" t="str">
        <f>"050"</f>
        <v>050</v>
      </c>
      <c r="G368" s="1040" t="s">
        <v>1417</v>
      </c>
      <c r="H368" s="1041" t="str">
        <f>"44B"</f>
        <v>44B</v>
      </c>
      <c r="I368" s="1040" t="s">
        <v>1422</v>
      </c>
      <c r="J368" s="1040">
        <v>409745</v>
      </c>
      <c r="K368" s="1045">
        <v>41396</v>
      </c>
      <c r="L368" s="1040" t="s">
        <v>561</v>
      </c>
      <c r="M368" s="1041">
        <v>2012</v>
      </c>
      <c r="N368" s="1041" t="s">
        <v>576</v>
      </c>
      <c r="O368" s="1041" t="s">
        <v>576</v>
      </c>
      <c r="P368" s="1041" t="s">
        <v>576</v>
      </c>
      <c r="Q368" s="1041" t="s">
        <v>576</v>
      </c>
      <c r="R368" s="1040">
        <v>10</v>
      </c>
      <c r="S368" s="1041">
        <v>1</v>
      </c>
      <c r="T368" s="1042">
        <v>260</v>
      </c>
      <c r="U368" s="1042">
        <v>11532</v>
      </c>
      <c r="V368" s="1042">
        <v>7154</v>
      </c>
      <c r="W368" s="1042"/>
      <c r="X368" s="1042">
        <v>44</v>
      </c>
      <c r="Y368" s="1042">
        <v>28</v>
      </c>
      <c r="Z368" s="1040" t="s">
        <v>611</v>
      </c>
      <c r="AA368" s="1040" t="s">
        <v>612</v>
      </c>
      <c r="AB368" s="1040" t="s">
        <v>606</v>
      </c>
      <c r="AC368" s="1040" t="s">
        <v>606</v>
      </c>
      <c r="AD368" s="1040" t="s">
        <v>581</v>
      </c>
      <c r="AE368" s="1054"/>
      <c r="AF368" s="1040" t="s">
        <v>582</v>
      </c>
      <c r="AG368" s="1040">
        <v>0</v>
      </c>
      <c r="AH368" s="1040" t="s">
        <v>1418</v>
      </c>
      <c r="AI368" s="1040" t="s">
        <v>1047</v>
      </c>
      <c r="AJ368" s="1040" t="s">
        <v>571</v>
      </c>
      <c r="AK368" s="1041">
        <v>76226</v>
      </c>
      <c r="AL368" s="1040" t="s">
        <v>1423</v>
      </c>
      <c r="AM368" s="1040" t="s">
        <v>1424</v>
      </c>
      <c r="AN368" s="1040" t="s">
        <v>1425</v>
      </c>
      <c r="AO368" s="1040">
        <v>11000</v>
      </c>
      <c r="AP368" s="1040">
        <v>409745</v>
      </c>
    </row>
    <row r="369" spans="1:42" x14ac:dyDescent="0.3">
      <c r="A369" s="1040">
        <v>98</v>
      </c>
      <c r="B369" s="1040">
        <v>75531</v>
      </c>
      <c r="C369" s="1040" t="s">
        <v>558</v>
      </c>
      <c r="D369" s="1040" t="str">
        <f t="shared" si="19"/>
        <v>061901</v>
      </c>
      <c r="E369" s="1040" t="s">
        <v>559</v>
      </c>
      <c r="F369" s="1040" t="str">
        <f>"050"</f>
        <v>050</v>
      </c>
      <c r="G369" s="1040" t="s">
        <v>1417</v>
      </c>
      <c r="H369" s="1041" t="str">
        <f>"999"</f>
        <v>999</v>
      </c>
      <c r="I369" s="1040" t="s">
        <v>586</v>
      </c>
      <c r="J369" s="1040">
        <v>409769</v>
      </c>
      <c r="K369" s="1040"/>
      <c r="L369" s="1040" t="s">
        <v>561</v>
      </c>
      <c r="M369" s="1041"/>
      <c r="N369" s="1041" t="s">
        <v>576</v>
      </c>
      <c r="O369" s="1041" t="s">
        <v>576</v>
      </c>
      <c r="P369" s="1041" t="s">
        <v>576</v>
      </c>
      <c r="Q369" s="1041" t="s">
        <v>576</v>
      </c>
      <c r="R369" s="1040">
        <v>0</v>
      </c>
      <c r="S369" s="1041">
        <v>0</v>
      </c>
      <c r="T369" s="1042"/>
      <c r="U369" s="1042"/>
      <c r="V369" s="1042"/>
      <c r="W369" s="1042">
        <v>255813</v>
      </c>
      <c r="X369" s="1042"/>
      <c r="Y369" s="1042"/>
      <c r="Z369" s="1040"/>
      <c r="AA369" s="1040"/>
      <c r="AB369" s="1040"/>
      <c r="AC369" s="1040"/>
      <c r="AD369" s="1040"/>
      <c r="AE369" s="1041"/>
      <c r="AF369" s="1040"/>
      <c r="AG369" s="1040">
        <v>0</v>
      </c>
      <c r="AH369" s="1040" t="s">
        <v>1418</v>
      </c>
      <c r="AI369" s="1040" t="s">
        <v>1047</v>
      </c>
      <c r="AJ369" s="1040" t="s">
        <v>571</v>
      </c>
      <c r="AK369" s="1041">
        <v>76226</v>
      </c>
      <c r="AL369" s="1040"/>
      <c r="AM369" s="1040"/>
      <c r="AN369" s="1040" t="s">
        <v>1234</v>
      </c>
      <c r="AO369" s="1040">
        <v>0</v>
      </c>
      <c r="AP369" s="1040">
        <v>409769</v>
      </c>
    </row>
    <row r="370" spans="1:42" s="1059" customFormat="1" x14ac:dyDescent="0.3">
      <c r="A370" s="1056"/>
      <c r="B370" s="1056"/>
      <c r="C370" s="1056"/>
      <c r="D370" s="1056"/>
      <c r="E370" s="1056"/>
      <c r="F370" s="1056"/>
      <c r="G370" s="1056"/>
      <c r="H370" s="1057"/>
      <c r="I370" s="1056"/>
      <c r="J370" s="1056"/>
      <c r="K370" s="1056"/>
      <c r="L370" s="1056"/>
      <c r="M370" s="1057"/>
      <c r="N370" s="1057"/>
      <c r="O370" s="1057"/>
      <c r="P370" s="1057"/>
      <c r="Q370" s="1057"/>
      <c r="R370" s="1056"/>
      <c r="S370" s="1057"/>
      <c r="T370" s="1058"/>
      <c r="U370" s="1058"/>
      <c r="V370" s="1058"/>
      <c r="W370" s="1058"/>
      <c r="X370" s="1058"/>
      <c r="Y370" s="1058"/>
      <c r="Z370" s="1056"/>
      <c r="AA370" s="1056"/>
      <c r="AB370" s="1056"/>
      <c r="AC370" s="1056"/>
      <c r="AD370" s="1056"/>
      <c r="AE370" s="1057"/>
      <c r="AF370" s="1056"/>
      <c r="AG370" s="1056"/>
      <c r="AH370" s="1056"/>
      <c r="AI370" s="1056"/>
      <c r="AJ370" s="1056"/>
      <c r="AK370" s="1057"/>
      <c r="AL370" s="1056"/>
      <c r="AM370" s="1056"/>
      <c r="AN370" s="1056"/>
      <c r="AO370" s="1056"/>
      <c r="AP370" s="1056"/>
    </row>
    <row r="371" spans="1:42" s="1059" customFormat="1" x14ac:dyDescent="0.3">
      <c r="A371" s="1060"/>
      <c r="B371" s="1060"/>
      <c r="C371" s="1060"/>
      <c r="D371" s="1060"/>
      <c r="E371" s="1060"/>
      <c r="F371" s="1060"/>
      <c r="G371" s="1060"/>
      <c r="H371" s="1061"/>
      <c r="I371" s="1062" t="s">
        <v>1426</v>
      </c>
      <c r="J371" s="1060"/>
      <c r="K371" s="1060"/>
      <c r="L371" s="1060"/>
      <c r="M371" s="1061"/>
      <c r="N371" s="1061"/>
      <c r="O371" s="1061"/>
      <c r="P371" s="1061"/>
      <c r="Q371" s="1061"/>
      <c r="R371" s="1060"/>
      <c r="S371" s="1061"/>
      <c r="T371" s="1063"/>
      <c r="U371" s="1063"/>
      <c r="V371" s="1063"/>
      <c r="W371" s="1063"/>
      <c r="X371" s="1063"/>
      <c r="Y371" s="1063"/>
      <c r="Z371" s="1060"/>
      <c r="AA371" s="1060"/>
      <c r="AB371" s="1060"/>
      <c r="AC371" s="1060"/>
      <c r="AD371" s="1060"/>
      <c r="AE371" s="1061"/>
      <c r="AF371" s="1060"/>
      <c r="AG371" s="1060"/>
      <c r="AH371" s="1060"/>
      <c r="AI371" s="1060"/>
      <c r="AJ371" s="1060"/>
      <c r="AK371" s="1061"/>
      <c r="AL371" s="1060"/>
      <c r="AM371" s="1060"/>
      <c r="AN371" s="1060"/>
      <c r="AO371" s="1060"/>
      <c r="AP371" s="1060"/>
    </row>
    <row r="372" spans="1:42" x14ac:dyDescent="0.3">
      <c r="A372" s="1040">
        <v>98</v>
      </c>
      <c r="B372" s="1040">
        <v>75531</v>
      </c>
      <c r="C372" s="1040" t="s">
        <v>558</v>
      </c>
      <c r="D372" s="1040" t="str">
        <f t="shared" si="19"/>
        <v>061901</v>
      </c>
      <c r="E372" s="1040" t="s">
        <v>559</v>
      </c>
      <c r="F372" s="1040" t="str">
        <f>"077"</f>
        <v>077</v>
      </c>
      <c r="H372" s="1041" t="str">
        <f>"32A"</f>
        <v>32A</v>
      </c>
      <c r="I372" s="1040" t="s">
        <v>1427</v>
      </c>
      <c r="J372" s="1040">
        <v>409568</v>
      </c>
      <c r="K372" s="1045">
        <v>41410</v>
      </c>
      <c r="L372" s="1040" t="s">
        <v>561</v>
      </c>
      <c r="M372" s="1041">
        <v>1970</v>
      </c>
      <c r="N372" s="1041" t="s">
        <v>576</v>
      </c>
      <c r="O372" s="1041" t="s">
        <v>576</v>
      </c>
      <c r="P372" s="1041" t="s">
        <v>576</v>
      </c>
      <c r="Q372" s="1041" t="s">
        <v>576</v>
      </c>
      <c r="R372" s="1040">
        <v>14</v>
      </c>
      <c r="S372" s="1041">
        <v>1</v>
      </c>
      <c r="T372" s="1042">
        <v>5546</v>
      </c>
      <c r="U372" s="1042">
        <v>552513</v>
      </c>
      <c r="V372" s="1042">
        <v>146150</v>
      </c>
      <c r="W372" s="1042">
        <v>0</v>
      </c>
      <c r="X372" s="1042">
        <v>100</v>
      </c>
      <c r="Y372" s="1042">
        <v>26</v>
      </c>
      <c r="Z372" s="1040" t="s">
        <v>577</v>
      </c>
      <c r="AA372" s="1040" t="s">
        <v>1428</v>
      </c>
      <c r="AB372" s="1040" t="s">
        <v>637</v>
      </c>
      <c r="AC372" s="1040" t="s">
        <v>638</v>
      </c>
      <c r="AD372" s="1040" t="s">
        <v>581</v>
      </c>
      <c r="AE372" s="1054"/>
      <c r="AF372" s="1040" t="s">
        <v>582</v>
      </c>
      <c r="AG372" s="1040">
        <v>0</v>
      </c>
      <c r="AH372" s="1040" t="s">
        <v>1429</v>
      </c>
      <c r="AI372" s="1040" t="s">
        <v>594</v>
      </c>
      <c r="AJ372" s="1040" t="s">
        <v>571</v>
      </c>
      <c r="AK372" s="1041">
        <v>76201</v>
      </c>
      <c r="AL372" s="1040" t="s">
        <v>1430</v>
      </c>
      <c r="AM372" s="1040" t="s">
        <v>1431</v>
      </c>
      <c r="AN372" s="1040" t="s">
        <v>1432</v>
      </c>
      <c r="AO372" s="1040">
        <v>527000</v>
      </c>
      <c r="AP372" s="1040">
        <v>409568</v>
      </c>
    </row>
    <row r="373" spans="1:42" x14ac:dyDescent="0.3">
      <c r="A373" s="1040">
        <v>98</v>
      </c>
      <c r="B373" s="1040">
        <v>75531</v>
      </c>
      <c r="C373" s="1040" t="s">
        <v>558</v>
      </c>
      <c r="D373" s="1040" t="str">
        <f t="shared" si="19"/>
        <v>061901</v>
      </c>
      <c r="E373" s="1040" t="s">
        <v>559</v>
      </c>
      <c r="F373" s="1040" t="str">
        <f>"077"</f>
        <v>077</v>
      </c>
      <c r="G373" s="1040" t="s">
        <v>1426</v>
      </c>
      <c r="H373" s="1041" t="str">
        <f>"999"</f>
        <v>999</v>
      </c>
      <c r="I373" s="1040" t="s">
        <v>586</v>
      </c>
      <c r="J373" s="1040">
        <v>409777</v>
      </c>
      <c r="K373" s="1040"/>
      <c r="L373" s="1040" t="s">
        <v>561</v>
      </c>
      <c r="M373" s="1041"/>
      <c r="N373" s="1041" t="s">
        <v>576</v>
      </c>
      <c r="O373" s="1041" t="s">
        <v>576</v>
      </c>
      <c r="P373" s="1041" t="s">
        <v>576</v>
      </c>
      <c r="Q373" s="1041" t="s">
        <v>576</v>
      </c>
      <c r="R373" s="1040">
        <v>0</v>
      </c>
      <c r="S373" s="1041">
        <v>0</v>
      </c>
      <c r="T373" s="1042"/>
      <c r="U373" s="1042"/>
      <c r="V373" s="1042"/>
      <c r="W373" s="1042">
        <v>1046</v>
      </c>
      <c r="X373" s="1042"/>
      <c r="Y373" s="1042"/>
      <c r="Z373" s="1040"/>
      <c r="AA373" s="1040"/>
      <c r="AB373" s="1040"/>
      <c r="AC373" s="1040"/>
      <c r="AD373" s="1040"/>
      <c r="AE373" s="1041"/>
      <c r="AF373" s="1040"/>
      <c r="AG373" s="1040">
        <v>0</v>
      </c>
      <c r="AH373" s="1040" t="s">
        <v>1429</v>
      </c>
      <c r="AI373" s="1040" t="s">
        <v>594</v>
      </c>
      <c r="AJ373" s="1040" t="s">
        <v>571</v>
      </c>
      <c r="AK373" s="1041">
        <v>76201</v>
      </c>
      <c r="AL373" s="1040"/>
      <c r="AM373" s="1040"/>
      <c r="AN373" s="1040" t="s">
        <v>1433</v>
      </c>
      <c r="AO373" s="1040">
        <v>0</v>
      </c>
      <c r="AP373" s="1040">
        <v>409777</v>
      </c>
    </row>
    <row r="374" spans="1:42" s="1059" customFormat="1" x14ac:dyDescent="0.3">
      <c r="A374" s="1056"/>
      <c r="B374" s="1056"/>
      <c r="C374" s="1056"/>
      <c r="D374" s="1056"/>
      <c r="E374" s="1056"/>
      <c r="F374" s="1056"/>
      <c r="G374" s="1056"/>
      <c r="H374" s="1057"/>
      <c r="I374" s="1056"/>
      <c r="J374" s="1056"/>
      <c r="K374" s="1056"/>
      <c r="L374" s="1056"/>
      <c r="M374" s="1057"/>
      <c r="N374" s="1057"/>
      <c r="O374" s="1057"/>
      <c r="P374" s="1057"/>
      <c r="Q374" s="1057"/>
      <c r="R374" s="1056"/>
      <c r="S374" s="1057"/>
      <c r="T374" s="1058"/>
      <c r="U374" s="1058"/>
      <c r="V374" s="1058"/>
      <c r="W374" s="1058"/>
      <c r="X374" s="1058"/>
      <c r="Y374" s="1058"/>
      <c r="Z374" s="1056"/>
      <c r="AA374" s="1056"/>
      <c r="AB374" s="1056"/>
      <c r="AC374" s="1056"/>
      <c r="AD374" s="1056"/>
      <c r="AE374" s="1057"/>
      <c r="AF374" s="1056"/>
      <c r="AG374" s="1056"/>
      <c r="AH374" s="1056"/>
      <c r="AI374" s="1056"/>
      <c r="AJ374" s="1056"/>
      <c r="AK374" s="1057"/>
      <c r="AL374" s="1056"/>
      <c r="AM374" s="1056"/>
      <c r="AN374" s="1056"/>
      <c r="AO374" s="1056"/>
      <c r="AP374" s="1056"/>
    </row>
    <row r="375" spans="1:42" s="1059" customFormat="1" x14ac:dyDescent="0.3">
      <c r="A375" s="1060"/>
      <c r="B375" s="1060"/>
      <c r="C375" s="1060"/>
      <c r="D375" s="1060"/>
      <c r="E375" s="1060"/>
      <c r="F375" s="1060"/>
      <c r="G375" s="1060"/>
      <c r="H375" s="1061"/>
      <c r="I375" s="1062" t="s">
        <v>1434</v>
      </c>
      <c r="J375" s="1060"/>
      <c r="K375" s="1060"/>
      <c r="L375" s="1060"/>
      <c r="M375" s="1061"/>
      <c r="N375" s="1061"/>
      <c r="O375" s="1061"/>
      <c r="P375" s="1061"/>
      <c r="Q375" s="1061"/>
      <c r="R375" s="1060"/>
      <c r="S375" s="1061"/>
      <c r="T375" s="1063"/>
      <c r="U375" s="1063"/>
      <c r="V375" s="1063"/>
      <c r="W375" s="1063"/>
      <c r="X375" s="1063"/>
      <c r="Y375" s="1063"/>
      <c r="Z375" s="1060"/>
      <c r="AA375" s="1060"/>
      <c r="AB375" s="1060"/>
      <c r="AC375" s="1060"/>
      <c r="AD375" s="1060"/>
      <c r="AE375" s="1061"/>
      <c r="AF375" s="1060"/>
      <c r="AG375" s="1060"/>
      <c r="AH375" s="1060"/>
      <c r="AI375" s="1060"/>
      <c r="AJ375" s="1060"/>
      <c r="AK375" s="1061"/>
      <c r="AL375" s="1060"/>
      <c r="AM375" s="1060"/>
      <c r="AN375" s="1060"/>
      <c r="AO375" s="1060"/>
      <c r="AP375" s="1060"/>
    </row>
    <row r="376" spans="1:42" x14ac:dyDescent="0.3">
      <c r="A376" s="1040">
        <v>98</v>
      </c>
      <c r="B376" s="1040">
        <v>75531</v>
      </c>
      <c r="C376" s="1040" t="s">
        <v>558</v>
      </c>
      <c r="D376" s="1040" t="str">
        <f t="shared" si="19"/>
        <v>061901</v>
      </c>
      <c r="E376" s="1040" t="s">
        <v>559</v>
      </c>
      <c r="F376" s="1040" t="str">
        <f>"078"</f>
        <v>078</v>
      </c>
      <c r="H376" s="1041" t="str">
        <f>"412243"</f>
        <v>412243</v>
      </c>
      <c r="I376" s="1040" t="s">
        <v>1435</v>
      </c>
      <c r="J376" s="1040">
        <v>412243</v>
      </c>
      <c r="K376" s="1040"/>
      <c r="L376" s="1040" t="s">
        <v>940</v>
      </c>
      <c r="M376" s="1041">
        <v>2013</v>
      </c>
      <c r="N376" s="1041"/>
      <c r="O376" s="1041"/>
      <c r="P376" s="1041"/>
      <c r="Q376" s="1041"/>
      <c r="R376" s="1040">
        <v>0</v>
      </c>
      <c r="S376" s="1041">
        <v>2</v>
      </c>
      <c r="T376" s="1042">
        <v>181474</v>
      </c>
      <c r="U376" s="1042">
        <v>31822447</v>
      </c>
      <c r="V376" s="1042">
        <v>3163082</v>
      </c>
      <c r="W376" s="1042">
        <v>0</v>
      </c>
      <c r="X376" s="1042">
        <v>175</v>
      </c>
      <c r="Y376" s="1042">
        <v>17</v>
      </c>
      <c r="Z376" s="1040"/>
      <c r="AA376" s="1040"/>
      <c r="AB376" s="1040"/>
      <c r="AC376" s="1040"/>
      <c r="AD376" s="1040"/>
      <c r="AE376" s="1041"/>
      <c r="AF376" s="1040"/>
      <c r="AG376" s="1040"/>
      <c r="AH376" s="1040" t="s">
        <v>1436</v>
      </c>
      <c r="AI376" s="1040" t="s">
        <v>799</v>
      </c>
      <c r="AJ376" s="1040" t="s">
        <v>571</v>
      </c>
      <c r="AK376" s="1041">
        <v>76208</v>
      </c>
      <c r="AL376" s="1040"/>
      <c r="AM376" s="1040"/>
      <c r="AN376" s="1040" t="s">
        <v>1437</v>
      </c>
      <c r="AO376" s="1040">
        <v>31506405</v>
      </c>
      <c r="AP376" s="1040">
        <v>412243</v>
      </c>
    </row>
    <row r="377" spans="1:42" s="1059" customFormat="1" x14ac:dyDescent="0.3">
      <c r="A377" s="1056"/>
      <c r="B377" s="1056"/>
      <c r="C377" s="1056"/>
      <c r="D377" s="1056"/>
      <c r="E377" s="1056"/>
      <c r="F377" s="1056"/>
      <c r="H377" s="1057"/>
      <c r="I377" s="1056"/>
      <c r="J377" s="1056"/>
      <c r="K377" s="1056"/>
      <c r="L377" s="1056"/>
      <c r="M377" s="1057"/>
      <c r="N377" s="1057"/>
      <c r="O377" s="1057"/>
      <c r="P377" s="1057"/>
      <c r="Q377" s="1057"/>
      <c r="R377" s="1056"/>
      <c r="S377" s="1057"/>
      <c r="T377" s="1058"/>
      <c r="U377" s="1058"/>
      <c r="V377" s="1058"/>
      <c r="W377" s="1058"/>
      <c r="X377" s="1058"/>
      <c r="Y377" s="1058"/>
      <c r="Z377" s="1056"/>
      <c r="AA377" s="1056"/>
      <c r="AB377" s="1056"/>
      <c r="AC377" s="1056"/>
      <c r="AD377" s="1056"/>
      <c r="AE377" s="1057"/>
      <c r="AF377" s="1056"/>
      <c r="AG377" s="1056"/>
      <c r="AH377" s="1056"/>
      <c r="AI377" s="1056"/>
      <c r="AJ377" s="1056"/>
      <c r="AK377" s="1057"/>
      <c r="AL377" s="1056"/>
      <c r="AM377" s="1056"/>
      <c r="AN377" s="1056"/>
      <c r="AO377" s="1056"/>
      <c r="AP377" s="1056"/>
    </row>
    <row r="378" spans="1:42" s="1059" customFormat="1" x14ac:dyDescent="0.3">
      <c r="A378" s="1060"/>
      <c r="B378" s="1060"/>
      <c r="C378" s="1060"/>
      <c r="D378" s="1060"/>
      <c r="E378" s="1060"/>
      <c r="F378" s="1060"/>
      <c r="H378" s="1061"/>
      <c r="I378" s="1060"/>
      <c r="J378" s="1060"/>
      <c r="K378" s="1060"/>
      <c r="L378" s="1060"/>
      <c r="M378" s="1061"/>
      <c r="N378" s="1061"/>
      <c r="O378" s="1061"/>
      <c r="P378" s="1061"/>
      <c r="Q378" s="1061"/>
      <c r="R378" s="1060"/>
      <c r="S378" s="1061"/>
      <c r="T378" s="1063"/>
      <c r="U378" s="1063"/>
      <c r="V378" s="1063"/>
      <c r="W378" s="1063"/>
      <c r="X378" s="1063"/>
      <c r="Y378" s="1063"/>
      <c r="Z378" s="1060"/>
      <c r="AA378" s="1060"/>
      <c r="AB378" s="1060"/>
      <c r="AC378" s="1060"/>
      <c r="AD378" s="1060"/>
      <c r="AE378" s="1061"/>
      <c r="AF378" s="1060"/>
      <c r="AG378" s="1060"/>
      <c r="AH378" s="1060"/>
      <c r="AI378" s="1060"/>
      <c r="AJ378" s="1060"/>
      <c r="AK378" s="1061"/>
      <c r="AL378" s="1060"/>
      <c r="AM378" s="1060"/>
      <c r="AN378" s="1060"/>
      <c r="AO378" s="1060"/>
      <c r="AP378" s="1060"/>
    </row>
    <row r="379" spans="1:42" x14ac:dyDescent="0.3">
      <c r="A379" s="1040">
        <v>98</v>
      </c>
      <c r="B379" s="1040">
        <v>75531</v>
      </c>
      <c r="C379" s="1040" t="s">
        <v>558</v>
      </c>
      <c r="D379" s="1040" t="str">
        <f t="shared" si="19"/>
        <v>061901</v>
      </c>
      <c r="E379" s="1040" t="s">
        <v>559</v>
      </c>
      <c r="F379" s="1040" t="str">
        <f>"079"</f>
        <v>079</v>
      </c>
      <c r="G379" s="1040" t="s">
        <v>1438</v>
      </c>
      <c r="H379" s="1041" t="str">
        <f>"426051"</f>
        <v>426051</v>
      </c>
      <c r="I379" s="1044" t="s">
        <v>1438</v>
      </c>
      <c r="J379" s="1040">
        <v>426051</v>
      </c>
      <c r="K379" s="1040"/>
      <c r="L379" s="1040" t="s">
        <v>940</v>
      </c>
      <c r="M379" s="1041">
        <v>2014</v>
      </c>
      <c r="N379" s="1041"/>
      <c r="O379" s="1041"/>
      <c r="P379" s="1041"/>
      <c r="Q379" s="1041"/>
      <c r="R379" s="1040">
        <v>0</v>
      </c>
      <c r="S379" s="1041">
        <v>1</v>
      </c>
      <c r="T379" s="1042">
        <v>88674</v>
      </c>
      <c r="U379" s="1042">
        <v>13130403</v>
      </c>
      <c r="V379" s="1042">
        <v>1305133</v>
      </c>
      <c r="W379" s="1042">
        <v>0</v>
      </c>
      <c r="X379" s="1042">
        <v>148</v>
      </c>
      <c r="Y379" s="1042">
        <v>15</v>
      </c>
      <c r="Z379" s="1040"/>
      <c r="AA379" s="1040"/>
      <c r="AB379" s="1040"/>
      <c r="AC379" s="1040"/>
      <c r="AD379" s="1040"/>
      <c r="AE379" s="1041"/>
      <c r="AF379" s="1040"/>
      <c r="AG379" s="1040"/>
      <c r="AH379" s="1040" t="s">
        <v>1439</v>
      </c>
      <c r="AI379" s="1040" t="s">
        <v>1440</v>
      </c>
      <c r="AJ379" s="1040" t="s">
        <v>571</v>
      </c>
      <c r="AK379" s="1041">
        <v>76226</v>
      </c>
      <c r="AL379" s="1040"/>
      <c r="AM379" s="1040"/>
      <c r="AN379" s="1040"/>
      <c r="AO379" s="1040">
        <v>13000000</v>
      </c>
      <c r="AP379" s="1040">
        <v>426051</v>
      </c>
    </row>
    <row r="380" spans="1:42" s="1059" customFormat="1" x14ac:dyDescent="0.3">
      <c r="A380" s="1056"/>
      <c r="B380" s="1056"/>
      <c r="C380" s="1056"/>
      <c r="D380" s="1056"/>
      <c r="E380" s="1056"/>
      <c r="F380" s="1056"/>
      <c r="H380" s="1057"/>
      <c r="I380" s="1056"/>
      <c r="J380" s="1056"/>
      <c r="K380" s="1056"/>
      <c r="L380" s="1056"/>
      <c r="M380" s="1057"/>
      <c r="N380" s="1057"/>
      <c r="O380" s="1057"/>
      <c r="P380" s="1057"/>
      <c r="Q380" s="1057"/>
      <c r="R380" s="1056"/>
      <c r="S380" s="1057"/>
      <c r="T380" s="1058"/>
      <c r="U380" s="1058"/>
      <c r="V380" s="1058"/>
      <c r="W380" s="1058"/>
      <c r="X380" s="1058"/>
      <c r="Y380" s="1058"/>
      <c r="Z380" s="1056"/>
      <c r="AA380" s="1056"/>
      <c r="AB380" s="1056"/>
      <c r="AC380" s="1056"/>
      <c r="AD380" s="1056"/>
      <c r="AE380" s="1057"/>
      <c r="AF380" s="1056"/>
      <c r="AG380" s="1056"/>
      <c r="AH380" s="1056"/>
      <c r="AI380" s="1056"/>
      <c r="AJ380" s="1056"/>
      <c r="AK380" s="1057"/>
      <c r="AL380" s="1056"/>
      <c r="AM380" s="1056"/>
      <c r="AN380" s="1056"/>
      <c r="AO380" s="1056"/>
      <c r="AP380" s="1056"/>
    </row>
    <row r="381" spans="1:42" s="1059" customFormat="1" x14ac:dyDescent="0.3">
      <c r="A381" s="1060"/>
      <c r="B381" s="1060"/>
      <c r="C381" s="1060"/>
      <c r="D381" s="1060"/>
      <c r="E381" s="1060"/>
      <c r="F381" s="1060"/>
      <c r="H381" s="1061"/>
      <c r="I381" s="1060"/>
      <c r="J381" s="1060"/>
      <c r="K381" s="1060"/>
      <c r="L381" s="1060"/>
      <c r="M381" s="1061"/>
      <c r="N381" s="1061"/>
      <c r="O381" s="1061"/>
      <c r="P381" s="1061"/>
      <c r="Q381" s="1061"/>
      <c r="R381" s="1060"/>
      <c r="S381" s="1061"/>
      <c r="T381" s="1063"/>
      <c r="U381" s="1063"/>
      <c r="V381" s="1063"/>
      <c r="W381" s="1063"/>
      <c r="X381" s="1063"/>
      <c r="Y381" s="1063"/>
      <c r="Z381" s="1060"/>
      <c r="AA381" s="1060"/>
      <c r="AB381" s="1060"/>
      <c r="AC381" s="1060"/>
      <c r="AD381" s="1060"/>
      <c r="AE381" s="1061"/>
      <c r="AF381" s="1060"/>
      <c r="AG381" s="1060"/>
      <c r="AH381" s="1060"/>
      <c r="AI381" s="1060"/>
      <c r="AJ381" s="1060"/>
      <c r="AK381" s="1061"/>
      <c r="AL381" s="1060"/>
      <c r="AM381" s="1060"/>
      <c r="AN381" s="1060"/>
      <c r="AO381" s="1060"/>
      <c r="AP381" s="1060"/>
    </row>
    <row r="382" spans="1:42" x14ac:dyDescent="0.3">
      <c r="A382" s="1040">
        <v>98</v>
      </c>
      <c r="B382" s="1040">
        <v>75531</v>
      </c>
      <c r="C382" s="1040" t="s">
        <v>558</v>
      </c>
      <c r="D382" s="1040" t="str">
        <f t="shared" si="19"/>
        <v>061901</v>
      </c>
      <c r="E382" s="1040" t="s">
        <v>559</v>
      </c>
      <c r="F382" s="1040" t="str">
        <f>"080"</f>
        <v>080</v>
      </c>
      <c r="G382" s="1040" t="s">
        <v>1441</v>
      </c>
      <c r="H382" s="1041" t="str">
        <f>"434879"</f>
        <v>434879</v>
      </c>
      <c r="I382" s="1044" t="s">
        <v>1441</v>
      </c>
      <c r="J382" s="1040">
        <v>434879</v>
      </c>
      <c r="K382" s="1040"/>
      <c r="L382" s="1040" t="s">
        <v>793</v>
      </c>
      <c r="M382" s="1041">
        <v>2016</v>
      </c>
      <c r="N382" s="1041"/>
      <c r="O382" s="1041"/>
      <c r="P382" s="1041"/>
      <c r="Q382" s="1041"/>
      <c r="R382" s="1040">
        <v>0</v>
      </c>
      <c r="S382" s="1041">
        <v>0</v>
      </c>
      <c r="T382" s="1042">
        <v>88674</v>
      </c>
      <c r="U382" s="1042">
        <v>18787244</v>
      </c>
      <c r="V382" s="1042">
        <v>1300000</v>
      </c>
      <c r="W382" s="1042">
        <v>0</v>
      </c>
      <c r="X382" s="1042">
        <v>212</v>
      </c>
      <c r="Y382" s="1042">
        <v>15</v>
      </c>
      <c r="Z382" s="1040"/>
      <c r="AA382" s="1040"/>
      <c r="AB382" s="1040"/>
      <c r="AC382" s="1040"/>
      <c r="AD382" s="1040"/>
      <c r="AE382" s="1041"/>
      <c r="AF382" s="1040"/>
      <c r="AG382" s="1040"/>
      <c r="AH382" s="1040" t="s">
        <v>1442</v>
      </c>
      <c r="AI382" s="1040" t="s">
        <v>1443</v>
      </c>
      <c r="AJ382" s="1040" t="s">
        <v>571</v>
      </c>
      <c r="AK382" s="1041">
        <v>75068</v>
      </c>
      <c r="AL382" s="1040"/>
      <c r="AM382" s="1040"/>
      <c r="AN382" s="1040" t="s">
        <v>1444</v>
      </c>
      <c r="AO382" s="1040">
        <v>0</v>
      </c>
      <c r="AP382" s="1040">
        <v>434879</v>
      </c>
    </row>
    <row r="383" spans="1:42" s="1059" customFormat="1" x14ac:dyDescent="0.3">
      <c r="A383" s="1056"/>
      <c r="B383" s="1056"/>
      <c r="C383" s="1056"/>
      <c r="D383" s="1056"/>
      <c r="E383" s="1056"/>
      <c r="F383" s="1056"/>
      <c r="H383" s="1057"/>
      <c r="I383" s="1056"/>
      <c r="J383" s="1056"/>
      <c r="K383" s="1056"/>
      <c r="L383" s="1056"/>
      <c r="M383" s="1057"/>
      <c r="N383" s="1057"/>
      <c r="O383" s="1057"/>
      <c r="P383" s="1057"/>
      <c r="Q383" s="1057"/>
      <c r="R383" s="1056"/>
      <c r="S383" s="1057"/>
      <c r="T383" s="1058"/>
      <c r="U383" s="1058"/>
      <c r="V383" s="1058"/>
      <c r="W383" s="1058"/>
      <c r="X383" s="1058"/>
      <c r="Y383" s="1058"/>
      <c r="Z383" s="1056"/>
      <c r="AA383" s="1056"/>
      <c r="AB383" s="1056"/>
      <c r="AC383" s="1056"/>
      <c r="AD383" s="1056"/>
      <c r="AE383" s="1057"/>
      <c r="AF383" s="1056"/>
      <c r="AG383" s="1056"/>
      <c r="AH383" s="1056"/>
      <c r="AI383" s="1056"/>
      <c r="AJ383" s="1056"/>
      <c r="AK383" s="1057"/>
      <c r="AL383" s="1056"/>
      <c r="AM383" s="1056"/>
      <c r="AN383" s="1056"/>
      <c r="AO383" s="1056"/>
      <c r="AP383" s="1056"/>
    </row>
    <row r="384" spans="1:42" s="1059" customFormat="1" x14ac:dyDescent="0.3">
      <c r="A384" s="1060"/>
      <c r="B384" s="1060"/>
      <c r="C384" s="1060"/>
      <c r="D384" s="1060"/>
      <c r="E384" s="1060"/>
      <c r="F384" s="1060"/>
      <c r="H384" s="1061"/>
      <c r="I384" s="1060"/>
      <c r="J384" s="1060"/>
      <c r="K384" s="1060"/>
      <c r="L384" s="1060"/>
      <c r="M384" s="1061"/>
      <c r="N384" s="1061"/>
      <c r="O384" s="1061"/>
      <c r="P384" s="1061"/>
      <c r="Q384" s="1061"/>
      <c r="R384" s="1060"/>
      <c r="S384" s="1061"/>
      <c r="T384" s="1063"/>
      <c r="U384" s="1063"/>
      <c r="V384" s="1063"/>
      <c r="W384" s="1063"/>
      <c r="X384" s="1063"/>
      <c r="Y384" s="1063"/>
      <c r="Z384" s="1060"/>
      <c r="AA384" s="1060"/>
      <c r="AB384" s="1060"/>
      <c r="AC384" s="1060"/>
      <c r="AD384" s="1060"/>
      <c r="AE384" s="1061"/>
      <c r="AF384" s="1060"/>
      <c r="AG384" s="1060"/>
      <c r="AH384" s="1060"/>
      <c r="AI384" s="1060"/>
      <c r="AJ384" s="1060"/>
      <c r="AK384" s="1061"/>
      <c r="AL384" s="1060"/>
      <c r="AM384" s="1060"/>
      <c r="AN384" s="1060"/>
      <c r="AO384" s="1060"/>
      <c r="AP384" s="1060"/>
    </row>
    <row r="385" spans="1:42" x14ac:dyDescent="0.3">
      <c r="A385" s="1040">
        <v>98</v>
      </c>
      <c r="B385" s="1040">
        <v>75531</v>
      </c>
      <c r="C385" s="1040" t="s">
        <v>558</v>
      </c>
      <c r="D385" s="1040" t="str">
        <f t="shared" si="19"/>
        <v>061901</v>
      </c>
      <c r="E385" s="1040" t="s">
        <v>559</v>
      </c>
      <c r="F385" s="1040" t="str">
        <f>"081"</f>
        <v>081</v>
      </c>
      <c r="G385" s="1040" t="s">
        <v>1445</v>
      </c>
      <c r="H385" s="1041" t="str">
        <f>"434882"</f>
        <v>434882</v>
      </c>
      <c r="I385" s="1044" t="s">
        <v>1445</v>
      </c>
      <c r="J385" s="1040">
        <v>434882</v>
      </c>
      <c r="K385" s="1040"/>
      <c r="L385" s="1040" t="s">
        <v>793</v>
      </c>
      <c r="M385" s="1041">
        <v>2016</v>
      </c>
      <c r="N385" s="1041"/>
      <c r="O385" s="1041"/>
      <c r="P385" s="1041"/>
      <c r="Q385" s="1041"/>
      <c r="R385" s="1040">
        <v>0</v>
      </c>
      <c r="S385" s="1041">
        <v>0</v>
      </c>
      <c r="T385" s="1042">
        <v>526738</v>
      </c>
      <c r="U385" s="1042">
        <v>127256091</v>
      </c>
      <c r="V385" s="1042">
        <v>12087164</v>
      </c>
      <c r="W385" s="1042">
        <v>0</v>
      </c>
      <c r="X385" s="1042">
        <v>242</v>
      </c>
      <c r="Y385" s="1042">
        <v>23</v>
      </c>
      <c r="Z385" s="1040"/>
      <c r="AA385" s="1040"/>
      <c r="AB385" s="1040"/>
      <c r="AC385" s="1040"/>
      <c r="AD385" s="1040"/>
      <c r="AE385" s="1041"/>
      <c r="AF385" s="1040"/>
      <c r="AG385" s="1040"/>
      <c r="AH385" s="1040" t="s">
        <v>1446</v>
      </c>
      <c r="AI385" s="1040" t="s">
        <v>1443</v>
      </c>
      <c r="AJ385" s="1040" t="s">
        <v>571</v>
      </c>
      <c r="AK385" s="1041">
        <v>76227</v>
      </c>
      <c r="AL385" s="1040"/>
      <c r="AM385" s="1040"/>
      <c r="AN385" s="1040" t="s">
        <v>1447</v>
      </c>
      <c r="AO385" s="1040">
        <v>0</v>
      </c>
      <c r="AP385" s="1040">
        <v>434882</v>
      </c>
    </row>
    <row r="386" spans="1:42" x14ac:dyDescent="0.3">
      <c r="A386" s="1059"/>
      <c r="B386" s="1059"/>
      <c r="C386" s="1059"/>
      <c r="D386" s="1059"/>
      <c r="E386" s="1059"/>
      <c r="F386" s="1059"/>
      <c r="G386" s="1059"/>
      <c r="H386" s="1064"/>
      <c r="I386" s="1065"/>
      <c r="J386" s="1059"/>
      <c r="K386" s="1059"/>
      <c r="L386" s="1059"/>
      <c r="M386" s="1064"/>
      <c r="N386" s="1064"/>
      <c r="O386" s="1064"/>
      <c r="P386" s="1064"/>
      <c r="Q386" s="1064"/>
      <c r="R386" s="1059"/>
      <c r="S386" s="1064"/>
      <c r="T386" s="1066"/>
      <c r="U386" s="1066"/>
      <c r="V386" s="1066"/>
      <c r="W386" s="1066"/>
      <c r="X386" s="1066"/>
      <c r="Y386" s="1066"/>
      <c r="Z386" s="1059"/>
      <c r="AA386" s="1059"/>
      <c r="AB386" s="1059"/>
      <c r="AC386" s="1059"/>
      <c r="AD386" s="1059"/>
      <c r="AE386" s="1064"/>
      <c r="AF386" s="1059"/>
      <c r="AG386" s="1059"/>
      <c r="AH386" s="1059"/>
      <c r="AI386" s="1059"/>
      <c r="AJ386" s="1059"/>
      <c r="AK386" s="1064"/>
      <c r="AL386" s="1059"/>
      <c r="AM386" s="1059"/>
      <c r="AN386" s="1059"/>
      <c r="AO386" s="1059"/>
      <c r="AP386" s="1059"/>
    </row>
    <row r="387" spans="1:42" x14ac:dyDescent="0.3">
      <c r="U387" s="1047">
        <f>SUM(U4:U385)</f>
        <v>918263713</v>
      </c>
      <c r="V387" s="1047">
        <f t="shared" ref="V387:W387" si="20">SUM(V4:V385)</f>
        <v>122837111</v>
      </c>
      <c r="W387" s="1047">
        <f t="shared" si="20"/>
        <v>17352264</v>
      </c>
    </row>
    <row r="389" spans="1:42" x14ac:dyDescent="0.3">
      <c r="U389" s="1047">
        <f>SUM(U387:W387)</f>
        <v>1058453088</v>
      </c>
    </row>
    <row r="390" spans="1:42" x14ac:dyDescent="0.3">
      <c r="U390" s="1048"/>
    </row>
  </sheetData>
  <pageMargins left="0.75" right="0.75" top="1.35" bottom="0.6" header="0.75" footer="0.5"/>
  <pageSetup orientation="portrait" r:id="rId1"/>
  <headerFooter>
    <oddHeader>&amp;L&amp;"Arial,Bold"RFP 170509&amp;C&amp;"Arial,Bold"Property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Claims-Premium</vt:lpstr>
      <vt:lpstr>Summary</vt:lpstr>
      <vt:lpstr>RFP Spreadsheet Questionnaire</vt:lpstr>
      <vt:lpstr>Services</vt:lpstr>
      <vt:lpstr>Risk Pools</vt:lpstr>
      <vt:lpstr>Property</vt:lpstr>
      <vt:lpstr>'RFP Spreadsheet Questionnaire'!Print_Area</vt:lpstr>
      <vt:lpstr>Services!Print_Area</vt:lpstr>
      <vt:lpstr>Summary!Print_Area</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Reim</dc:creator>
  <cp:lastModifiedBy>Farmer, Cheryl L</cp:lastModifiedBy>
  <cp:lastPrinted>2017-04-10T14:42:04Z</cp:lastPrinted>
  <dcterms:created xsi:type="dcterms:W3CDTF">2007-03-14T11:43:34Z</dcterms:created>
  <dcterms:modified xsi:type="dcterms:W3CDTF">2017-04-10T14:54:55Z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dSIR" linkTarget="Prop_DedSIR">
    <vt:lpwstr>#REF!</vt:lpwstr>
  </property>
  <property fmtid="{D5CDD505-2E9C-101B-9397-08002B2CF9AE}" pid="3" name="mod" linkTarget="prop_mod">
    <vt:lpwstr>#REF!</vt:lpwstr>
  </property>
  <property fmtid="{D5CDD505-2E9C-101B-9397-08002B2CF9AE}" pid="4" name="Terr" linkTarget="Prop_Terr">
    <vt:lpwstr>#REF!</vt:lpwstr>
  </property>
</Properties>
</file>